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https://australiansuper.sharepoint.com/teams/MEXIPP/New Business Quotes/_List of Tenders/Select Sums Insured and Premiums Calc/Atlassian/"/>
    </mc:Choice>
  </mc:AlternateContent>
  <xr:revisionPtr revIDLastSave="122" documentId="8_{C30041D7-62CF-4915-8B59-CEA3091FA957}" xr6:coauthVersionLast="47" xr6:coauthVersionMax="47" xr10:uidLastSave="{9E32913F-DA77-4573-AAE9-A6FC8055BBBE}"/>
  <workbookProtection workbookAlgorithmName="SHA-512" workbookHashValue="HI+B6yUrIH10AdJYlGDFMK9Ynz00sqN+XlQrmcmec4JpgXedKICa4MMpXYta+ZlB1auM66h5EV+a5qZ2gTAknA==" workbookSaltValue="4ez2AM5u9rYshBmDmghOCw==" workbookSpinCount="100000" lockStructure="1"/>
  <bookViews>
    <workbookView xWindow="19090" yWindow="-10910" windowWidth="38620" windowHeight="21220" xr2:uid="{2BACA7B8-42CD-44CF-96B3-5D8F748EC646}"/>
  </bookViews>
  <sheets>
    <sheet name="Summary" sheetId="18" r:id="rId1"/>
    <sheet name="Calculations" sheetId="3" state="veryHidden" r:id="rId2"/>
    <sheet name="Staging" sheetId="15" state="veryHidden" r:id="rId3"/>
    <sheet name="Rates 2022-M" sheetId="8" state="veryHidden" r:id="rId4"/>
    <sheet name="Rates 2022-F" sheetId="9" state="veryHidden" r:id="rId5"/>
  </sheets>
  <externalReferences>
    <externalReference r:id="rId6"/>
    <externalReference r:id="rId7"/>
  </externalReferences>
  <definedNames>
    <definedName name="_AMO_UniqueIdentifier" hidden="1">"'b36bc8c7-dcf1-425e-8dd9-1f929809a8f3'"</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16</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0</definedName>
    <definedName name="_Sort" localSheetId="0" hidden="1">[1]Data!#REF!</definedName>
    <definedName name="_Sort" hidden="1">[2]Data!#REF!</definedName>
    <definedName name="AS2DocOpenMode" hidden="1">"AS2DocumentEdit"</definedName>
    <definedName name="Data_Ages" localSheetId="0">#REF!</definedName>
    <definedName name="Data_Ages">#REF!</definedName>
    <definedName name="Data_BenefitCodes" localSheetId="0">#REF!</definedName>
    <definedName name="Data_BenefitCodes">#REF!</definedName>
    <definedName name="Data_Rates" localSheetId="0">#REF!</definedName>
    <definedName name="Data_Rate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3" l="1"/>
  <c r="E65" i="3" l="1"/>
  <c r="E64" i="3"/>
  <c r="E61" i="3"/>
  <c r="D61" i="3"/>
  <c r="C61" i="3"/>
  <c r="C14" i="3"/>
  <c r="C13" i="3"/>
  <c r="C12" i="3"/>
  <c r="C10" i="3"/>
  <c r="C9" i="3"/>
  <c r="H49" i="3" l="1"/>
  <c r="H47" i="3"/>
  <c r="H48" i="3"/>
  <c r="C11" i="3"/>
  <c r="E66" i="3"/>
  <c r="D43" i="3" l="1"/>
  <c r="C70" i="3" l="1"/>
  <c r="E70" i="3"/>
  <c r="D70" i="3"/>
  <c r="K12" i="18" s="1"/>
  <c r="I19" i="18" l="1"/>
  <c r="K18" i="18"/>
  <c r="K11" i="18"/>
  <c r="I13" i="18"/>
  <c r="C2" i="3" l="1"/>
  <c r="C4" i="3" l="1" a="1"/>
  <c r="C4" i="3" s="1"/>
  <c r="D3" i="3" s="1"/>
  <c r="D33" i="3"/>
  <c r="C39" i="3" l="1"/>
  <c r="E23" i="3"/>
  <c r="D4" i="3" a="1"/>
  <c r="D4" i="3" s="1"/>
  <c r="E25" i="3"/>
  <c r="E22" i="3"/>
  <c r="D37" i="3"/>
  <c r="D23" i="3"/>
  <c r="C22" i="3"/>
  <c r="E21" i="3"/>
  <c r="E20" i="3" s="1"/>
  <c r="E33" i="3"/>
  <c r="C33" i="3"/>
  <c r="D22" i="3"/>
  <c r="E19" i="3"/>
  <c r="C37" i="3"/>
  <c r="C23" i="3"/>
  <c r="D32" i="3"/>
  <c r="D24" i="3"/>
  <c r="C34" i="3"/>
  <c r="C35" i="3" s="1"/>
  <c r="C36" i="3" s="1"/>
  <c r="E26" i="3"/>
  <c r="D19" i="3"/>
  <c r="D31" i="3" s="1"/>
  <c r="C24" i="3"/>
  <c r="C21" i="3"/>
  <c r="C20" i="3" s="1"/>
  <c r="D34" i="3"/>
  <c r="C30" i="3"/>
  <c r="E24" i="3"/>
  <c r="E30" i="3"/>
  <c r="C32" i="3"/>
  <c r="D30" i="3"/>
  <c r="E32" i="3"/>
  <c r="D21" i="3"/>
  <c r="D20" i="3" s="1"/>
  <c r="C15" i="3"/>
  <c r="C16" i="3" s="1"/>
  <c r="D42" i="3" s="1"/>
  <c r="C19" i="3"/>
  <c r="C31" i="3" s="1"/>
  <c r="E41" i="3" l="1"/>
  <c r="E42" i="3" s="1"/>
  <c r="E68" i="3"/>
  <c r="E29" i="3" s="1"/>
  <c r="E56" i="3" s="1"/>
  <c r="C29" i="3"/>
  <c r="C52" i="3" s="1"/>
  <c r="E46" i="3"/>
  <c r="D68" i="3"/>
  <c r="D69" i="3" s="1"/>
  <c r="D35" i="3"/>
  <c r="D36" i="3" s="1"/>
  <c r="C68" i="3"/>
  <c r="C69" i="3" s="1"/>
  <c r="E10" i="18"/>
  <c r="C15" i="18"/>
  <c r="C42" i="3"/>
  <c r="C17" i="18"/>
  <c r="E31" i="3"/>
  <c r="E20" i="18"/>
  <c r="E21" i="18" s="1"/>
  <c r="E43" i="3"/>
  <c r="C49" i="3"/>
  <c r="C48" i="3"/>
  <c r="D49" i="3"/>
  <c r="C47" i="3"/>
  <c r="D48" i="3"/>
  <c r="D47" i="3"/>
  <c r="E69" i="3" l="1"/>
  <c r="E58" i="3" s="1"/>
  <c r="D29" i="3"/>
  <c r="D52" i="3" s="1"/>
  <c r="D53" i="3" s="1"/>
  <c r="C56" i="3"/>
  <c r="C57" i="3" s="1"/>
  <c r="F12" i="18" s="1"/>
  <c r="E52" i="3"/>
  <c r="D62" i="3"/>
  <c r="J12" i="18" s="1"/>
  <c r="C62" i="3"/>
  <c r="J11" i="18" s="1"/>
  <c r="C53" i="3"/>
  <c r="F23" i="18"/>
  <c r="E71" i="3"/>
  <c r="C58" i="3" l="1"/>
  <c r="E13" i="18" s="1"/>
  <c r="G11" i="18" s="1"/>
  <c r="E25" i="18"/>
  <c r="G23" i="18" s="1"/>
  <c r="D56" i="3"/>
  <c r="C71" i="3"/>
  <c r="F11" i="18"/>
  <c r="E47" i="3"/>
  <c r="E48" i="3"/>
  <c r="D58" i="3" l="1"/>
  <c r="E17" i="18" s="1"/>
  <c r="G15" i="18" s="1"/>
  <c r="F15" i="18"/>
  <c r="D57" i="3"/>
  <c r="F16" i="18" s="1"/>
  <c r="D71" i="3"/>
  <c r="E57" i="3"/>
  <c r="F24" i="18" s="1"/>
  <c r="E53" i="3"/>
  <c r="E49" i="3"/>
  <c r="E62" i="3" l="1"/>
  <c r="J18"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<sst xmlns="http://schemas.openxmlformats.org/spreadsheetml/2006/main" count="539" uniqueCount="196">
  <si>
    <t>Weekly premium per $10,000 sum insured (Death and TPD) and per $100 of monthly benefit (IP)</t>
  </si>
  <si>
    <t>Rounded to 3 decimals for Death and TPD and 3 decimals for IP</t>
  </si>
  <si>
    <t>Age Attained</t>
  </si>
  <si>
    <t>DEATH AND TPD</t>
  </si>
  <si>
    <t>2 year benefit period</t>
  </si>
  <si>
    <t>5 year benefit period</t>
  </si>
  <si>
    <t>TO AGE 65 benefit period</t>
  </si>
  <si>
    <t>DEATH</t>
  </si>
  <si>
    <t>TPD</t>
  </si>
  <si>
    <t>IP - 30 days</t>
  </si>
  <si>
    <t>IP - 60 days</t>
  </si>
  <si>
    <t>IP - 90 days</t>
  </si>
  <si>
    <t>SE_STD_D</t>
  </si>
  <si>
    <t>SE_STD_T</t>
  </si>
  <si>
    <t>SE_STD_2_30</t>
  </si>
  <si>
    <t>SE_STD_2_60</t>
  </si>
  <si>
    <t>SE_STD_2_90</t>
  </si>
  <si>
    <t>SE_STD_5_30</t>
  </si>
  <si>
    <t>SE_STD_5_60</t>
  </si>
  <si>
    <t>SE_STD_5_90</t>
  </si>
  <si>
    <t>SE_STD_65_30</t>
  </si>
  <si>
    <t>SE_STD_65_60</t>
  </si>
  <si>
    <t>SE_STD_65_90</t>
  </si>
  <si>
    <t>Date of Birth</t>
  </si>
  <si>
    <t>Annual Salary</t>
  </si>
  <si>
    <t>With AAL</t>
  </si>
  <si>
    <t>Weekly premium</t>
  </si>
  <si>
    <t>Without AAL</t>
  </si>
  <si>
    <t>Fixed Cover</t>
  </si>
  <si>
    <t>Death</t>
  </si>
  <si>
    <t>IP</t>
  </si>
  <si>
    <t>Sum Insured</t>
  </si>
  <si>
    <t>Age Last Birthday</t>
  </si>
  <si>
    <t>% x Sal x FYS</t>
  </si>
  <si>
    <t>D</t>
  </si>
  <si>
    <t>Design</t>
  </si>
  <si>
    <t>Work_Rating</t>
  </si>
  <si>
    <t>PRO</t>
  </si>
  <si>
    <t>%</t>
  </si>
  <si>
    <t>FYS</t>
  </si>
  <si>
    <t>Cessation_Age</t>
  </si>
  <si>
    <t>AAL</t>
  </si>
  <si>
    <t>Max</t>
  </si>
  <si>
    <t>Gender</t>
  </si>
  <si>
    <t>Employer</t>
  </si>
  <si>
    <t>Gendered</t>
  </si>
  <si>
    <t>D_FYS</t>
  </si>
  <si>
    <t>D_Cessation_Age</t>
  </si>
  <si>
    <t>D_Design</t>
  </si>
  <si>
    <t>D_%</t>
  </si>
  <si>
    <t>D_AAL</t>
  </si>
  <si>
    <t>D_Max</t>
  </si>
  <si>
    <t>TPD_FYS</t>
  </si>
  <si>
    <t>TPD_Cessation_Age</t>
  </si>
  <si>
    <t>TPD_Design</t>
  </si>
  <si>
    <t>TPD_%</t>
  </si>
  <si>
    <t>TPD_AAL</t>
  </si>
  <si>
    <t>TPD_Max</t>
  </si>
  <si>
    <t>IP_Cessation_Age</t>
  </si>
  <si>
    <t>IP_Benfit_Period</t>
  </si>
  <si>
    <t>IP_Waiting_Period</t>
  </si>
  <si>
    <t>IP_Design</t>
  </si>
  <si>
    <t>IP_%</t>
  </si>
  <si>
    <t>IP_AAL</t>
  </si>
  <si>
    <t>IP_Max</t>
  </si>
  <si>
    <t>% Occupation loading factor from STD</t>
  </si>
  <si>
    <t>Multiple of Salary</t>
  </si>
  <si>
    <t>Death Cover</t>
  </si>
  <si>
    <t>TPD Cover</t>
  </si>
  <si>
    <t>IP Cover</t>
  </si>
  <si>
    <t>Non-Default Design</t>
  </si>
  <si>
    <t>Today's Date</t>
  </si>
  <si>
    <t>Employer-Category</t>
  </si>
  <si>
    <t>Individual Work Rating</t>
  </si>
  <si>
    <t>Your Death and TPD cover is based on the following formula:</t>
  </si>
  <si>
    <t>Category Work Rating</t>
  </si>
  <si>
    <t>Work Rating</t>
  </si>
  <si>
    <t>Category</t>
  </si>
  <si>
    <t>60 days</t>
  </si>
  <si>
    <t>Selected Benefit Period</t>
  </si>
  <si>
    <t>Selected Waiting Period</t>
  </si>
  <si>
    <t>E-C Listing Match</t>
  </si>
  <si>
    <t>Disclaimer?</t>
  </si>
  <si>
    <t>Professional</t>
  </si>
  <si>
    <t>IP List</t>
  </si>
  <si>
    <t>30 days</t>
  </si>
  <si>
    <t>90 days</t>
  </si>
  <si>
    <t>Weekly cost of cover:</t>
  </si>
  <si>
    <t>Basic Cover</t>
  </si>
  <si>
    <t>Death cover amount:</t>
  </si>
  <si>
    <t>TPD cover amount:</t>
  </si>
  <si>
    <t>Category Name</t>
  </si>
  <si>
    <t>Basic Cover Details:</t>
  </si>
  <si>
    <t>Member Details:</t>
  </si>
  <si>
    <t>Future Service End Date</t>
  </si>
  <si>
    <t>&lt;</t>
  </si>
  <si>
    <t>Best Work Rating</t>
  </si>
  <si>
    <t>Weekly Rates</t>
  </si>
  <si>
    <t>Occupation Loading Factors</t>
  </si>
  <si>
    <t>Selected IP</t>
  </si>
  <si>
    <t>2-year benefit period IP</t>
  </si>
  <si>
    <t>5-year benefit period IP</t>
  </si>
  <si>
    <t>To-age-65 IP</t>
  </si>
  <si>
    <t>Fixed</t>
  </si>
  <si>
    <t>D_Fixed</t>
  </si>
  <si>
    <t>TPD_Fixed</t>
  </si>
  <si>
    <t>IP_Fixed</t>
  </si>
  <si>
    <t>Age Based Scale</t>
  </si>
  <si>
    <t>Multiple of Age Based Scale</t>
  </si>
  <si>
    <t>% x Salary</t>
  </si>
  <si>
    <t>DTPD Designs:</t>
  </si>
  <si>
    <t>IP Designs:</t>
  </si>
  <si>
    <t>TPD_Multiple</t>
  </si>
  <si>
    <t>D_Multiple</t>
  </si>
  <si>
    <t>IP_AgeBasedMultiple</t>
  </si>
  <si>
    <t>TPD_AgeBasedMultiple</t>
  </si>
  <si>
    <t>D_AgeBasedMultiple</t>
  </si>
  <si>
    <t># of Categories</t>
  </si>
  <si>
    <t>No basic cover</t>
  </si>
  <si>
    <t>Death Design</t>
  </si>
  <si>
    <t>TPD Design</t>
  </si>
  <si>
    <t>Rate_Type</t>
  </si>
  <si>
    <t>Income Protection Design</t>
  </si>
  <si>
    <t>Type</t>
  </si>
  <si>
    <t>Cover</t>
  </si>
  <si>
    <t>Aged Based Scale</t>
  </si>
  <si>
    <t>Multiple</t>
  </si>
  <si>
    <t>AgeBasedMultiple</t>
  </si>
  <si>
    <t>Sums Insured Variables</t>
  </si>
  <si>
    <t>Years of Future Service</t>
  </si>
  <si>
    <t>Sums Insured (unrounded)</t>
  </si>
  <si>
    <t>Codes</t>
  </si>
  <si>
    <r>
      <rPr>
        <b/>
        <sz val="18"/>
        <color rgb="FF171C94"/>
        <rFont val="Arial"/>
        <family val="2"/>
      </rPr>
      <t>Email</t>
    </r>
    <r>
      <rPr>
        <sz val="18"/>
        <color rgb="FF171C94"/>
        <rFont val="Arial"/>
        <family val="2"/>
      </rPr>
      <t xml:space="preserve">  as.select@australiansuper.com</t>
    </r>
  </si>
  <si>
    <t>Contact us</t>
  </si>
  <si>
    <t xml:space="preserve"> </t>
  </si>
  <si>
    <t>You may be required to provide detailed health information for the Insurer 
to consider if you apply for cover. Terms and conditions apply.</t>
  </si>
  <si>
    <t>Please select a waiting period</t>
  </si>
  <si>
    <r>
      <t xml:space="preserve">This is your </t>
    </r>
    <r>
      <rPr>
        <b/>
        <sz val="11"/>
        <color rgb="FF53565A"/>
        <rFont val="Arial"/>
        <family val="2"/>
      </rPr>
      <t>applied</t>
    </r>
    <r>
      <rPr>
        <sz val="11"/>
        <color rgb="FF53565A"/>
        <rFont val="Arial"/>
        <family val="2"/>
      </rPr>
      <t xml:space="preserve"> work rating:</t>
    </r>
  </si>
  <si>
    <t>Please select a benefit payment period</t>
  </si>
  <si>
    <t xml:space="preserve">If your category and individual work ratings are different, we’ll apply the work rating that’s less expensive to calculate the cost of your cover. </t>
  </si>
  <si>
    <r>
      <t xml:space="preserve">Your </t>
    </r>
    <r>
      <rPr>
        <b/>
        <sz val="11"/>
        <color rgb="FF53565A"/>
        <rFont val="Arial"/>
        <family val="2"/>
      </rPr>
      <t>category work rating</t>
    </r>
    <r>
      <rPr>
        <sz val="11"/>
        <color rgb="FF53565A"/>
        <rFont val="Arial"/>
        <family val="2"/>
      </rPr>
      <t xml:space="preserve"> (unique to your Select employer) is</t>
    </r>
  </si>
  <si>
    <t>Weekly cost of TPD cover</t>
  </si>
  <si>
    <t>Weekly cost of Death cover</t>
  </si>
  <si>
    <t>TPD Cover amount</t>
  </si>
  <si>
    <t>Death Cover amount</t>
  </si>
  <si>
    <t>Date of birth</t>
  </si>
  <si>
    <t>Specified cover amounts and costs</t>
  </si>
  <si>
    <t>Basic Death and Total &amp; Permanent Disablement (TPD) cover and costs</t>
  </si>
  <si>
    <t>If you would like to know the cost for a specific amount of cover, 
please enter your details in the orange fields in Section A and the cover amounts you want to calculate in the orange fields in Section C below.</t>
  </si>
  <si>
    <t>What’s the cost of the additional cover that I request?</t>
  </si>
  <si>
    <t>What's my basic cover and how much will it cost?</t>
  </si>
  <si>
    <t xml:space="preserve">Enter your details in the orange fields below. Basic cover and costs appear in Section B. </t>
  </si>
  <si>
    <t>C. Cost of any amount of cover</t>
  </si>
  <si>
    <t>B. Basic cover and the cost of it</t>
  </si>
  <si>
    <t>Default Cover ends at age</t>
  </si>
  <si>
    <t>Default Cover End Age Check</t>
  </si>
  <si>
    <t>Specific Cover Age Check</t>
  </si>
  <si>
    <t>Over AAL Check</t>
  </si>
  <si>
    <t>Blue Collar</t>
  </si>
  <si>
    <t>White Collar</t>
  </si>
  <si>
    <t>Rates</t>
  </si>
  <si>
    <t>Age</t>
  </si>
  <si>
    <t>Location</t>
  </si>
  <si>
    <r>
      <rPr>
        <b/>
        <sz val="18"/>
        <color rgb="FF171C94"/>
        <rFont val="Arial"/>
        <family val="2"/>
      </rPr>
      <t xml:space="preserve">Call </t>
    </r>
    <r>
      <rPr>
        <sz val="18"/>
        <color rgb="FF171C94"/>
        <rFont val="Arial"/>
        <family val="2"/>
      </rPr>
      <t xml:space="preserve">    1300 667 387 </t>
    </r>
  </si>
  <si>
    <t>Weekly cost of Income Protection</t>
  </si>
  <si>
    <t>Basic Income Protection and costs</t>
  </si>
  <si>
    <t>Monthly Income Protection amount</t>
  </si>
  <si>
    <t>Your Monthly Income Protection is based on the following formula:</t>
  </si>
  <si>
    <t>Monthly Income Protection amount:</t>
  </si>
  <si>
    <t>A. Your details (complete all orange fields)</t>
  </si>
  <si>
    <r>
      <rPr>
        <sz val="11"/>
        <color rgb="FF53565A"/>
        <rFont val="Arial Bold"/>
      </rPr>
      <t>Annual (before-tax) salary*</t>
    </r>
    <r>
      <rPr>
        <sz val="11"/>
        <color rgb="FF53565A"/>
        <rFont val="Arial"/>
        <family val="2"/>
      </rPr>
      <t>, excluding employer super contributions</t>
    </r>
  </si>
  <si>
    <t>* If your basic cover is salary based, your employer will provide us with your salary to calculate your basic cover.</t>
  </si>
  <si>
    <t>n/a</t>
  </si>
  <si>
    <r>
      <rPr>
        <sz val="11"/>
        <color rgb="FF53565A"/>
        <rFont val="Arial Bold"/>
      </rPr>
      <t xml:space="preserve">Select your individual work rating
</t>
    </r>
    <r>
      <rPr>
        <sz val="11"/>
        <color rgb="FF53565A"/>
        <rFont val="Arial"/>
        <family val="2"/>
      </rPr>
      <t>It's Blue Collar unless you've applied to change it.</t>
    </r>
  </si>
  <si>
    <t>sssss</t>
  </si>
  <si>
    <t>sssssssssssssssssssssssssssssssssssssss</t>
  </si>
  <si>
    <t>Atlassian</t>
  </si>
  <si>
    <t>Permanent employees and fixed-term contractors engaged on contracts of twelve months or more</t>
  </si>
  <si>
    <t>Atlassian-1</t>
  </si>
  <si>
    <t>Atlassian-2</t>
  </si>
  <si>
    <t>Atlassian-3</t>
  </si>
  <si>
    <t>Atlassian-4</t>
  </si>
  <si>
    <t>Atlassian-5</t>
  </si>
  <si>
    <t/>
  </si>
  <si>
    <t>0 x Salary</t>
  </si>
  <si>
    <t xml:space="preserve"> x Salary</t>
  </si>
  <si>
    <t>0% x Salary</t>
  </si>
  <si>
    <t>Atlassian Select Rates for Blue Collar Work Rating - Males</t>
  </si>
  <si>
    <t>Atlassian Select Rates for Blue Collar Work Rating - Females</t>
  </si>
  <si>
    <r>
      <t xml:space="preserve">Use this calculator to understand your basic cover amount and the cost of it in AustralianSuper Select for Atlassian employees. You can also calculate the cost of any amount of cover. Eligibility and terms and conditions apply. 
If you’re an existing AustralianSuper member and not in AustralianSuper Select for Atlassian employees, please refer to the relevant Product Disclosure Statement for your plan. See below for additional important information. 
</t>
    </r>
    <r>
      <rPr>
        <b/>
        <sz val="18"/>
        <color rgb="FFEB6800"/>
        <rFont val="Arial"/>
        <family val="2"/>
      </rPr>
      <t>Enter your details in the orange fields to reveal cover and costs in the white fields.</t>
    </r>
  </si>
  <si>
    <r>
      <rPr>
        <b/>
        <sz val="11"/>
        <color rgb="FF53565A"/>
        <rFont val="Arial"/>
        <family val="2"/>
      </rPr>
      <t xml:space="preserve">Note: </t>
    </r>
    <r>
      <rPr>
        <sz val="11"/>
        <color rgb="FF53565A"/>
        <rFont val="Arial"/>
        <family val="2"/>
      </rPr>
      <t xml:space="preserve">Basic cover shown below may be subject to automatic limits, age and other eligibility conditions. The cover amounts below are not capped at the automatic limits, and you may be required to provide detailed health information to the Insurer if your cover reaches these limits. If your basic cover is salary based, your employer will provide us with your salary to calculate your basic cover. Your employer will also advise us of the insurance category you're in. See the </t>
    </r>
    <r>
      <rPr>
        <i/>
        <sz val="11"/>
        <color rgb="FF53565A"/>
        <rFont val="Arial"/>
        <family val="2"/>
      </rPr>
      <t>AustralianSuper Select for Atlassian employees booklet</t>
    </r>
    <r>
      <rPr>
        <sz val="11"/>
        <color rgb="FF53565A"/>
        <rFont val="Arial"/>
        <family val="2"/>
      </rPr>
      <t xml:space="preserve"> at </t>
    </r>
    <r>
      <rPr>
        <b/>
        <sz val="11"/>
        <color rgb="FF53565A"/>
        <rFont val="Arial"/>
        <family val="2"/>
      </rPr>
      <t>australiansuper.com/atlassian</t>
    </r>
    <r>
      <rPr>
        <i/>
        <sz val="11"/>
        <color rgb="FF53565A"/>
        <rFont val="Arial"/>
        <family val="2"/>
      </rPr>
      <t xml:space="preserve"> </t>
    </r>
    <r>
      <rPr>
        <sz val="11"/>
        <color rgb="FF53565A"/>
        <rFont val="Arial"/>
        <family val="2"/>
      </rPr>
      <t>for more information about basic cover.</t>
    </r>
  </si>
  <si>
    <r>
      <rPr>
        <b/>
        <sz val="18"/>
        <color rgb="FF171C94"/>
        <rFont val="Arial"/>
        <family val="2"/>
      </rPr>
      <t>Web</t>
    </r>
    <r>
      <rPr>
        <sz val="18"/>
        <color rgb="FF171C94"/>
        <rFont val="Arial"/>
        <family val="2"/>
      </rPr>
      <t xml:space="preserve">    australiansuper.com/atlassian</t>
    </r>
  </si>
  <si>
    <r>
      <rPr>
        <b/>
        <sz val="11"/>
        <color rgb="FF53565A"/>
        <rFont val="Arial"/>
        <family val="2"/>
      </rPr>
      <t>Important information</t>
    </r>
    <r>
      <rPr>
        <sz val="11"/>
        <color rgb="FF53565A"/>
        <rFont val="Arial"/>
        <family val="2"/>
      </rPr>
      <t xml:space="preserve">
This calculator shows the cost of insurance and the basic cover amount you may be eligible for in AustralianSuper Select. 
The outcome produced is illustrative only and should not be relied upon as a guarantee. It does not reflect your ability to obtain the level of cover presented as this may be subject to underwriting assessment and approval, premium loadings and/or policy exclusions. The calculator does not take into account your personal objectives, situation or needs.
You should read the information about Select and insurance in our AustralianSuper Select Product Disclosure Statement, AustralianSuper Select employee booklet and Insurance in your super guide for Select members at </t>
    </r>
    <r>
      <rPr>
        <b/>
        <sz val="11"/>
        <color rgb="FF53565A"/>
        <rFont val="Arial"/>
        <family val="2"/>
      </rPr>
      <t>australiansuper.com/atlassian</t>
    </r>
    <r>
      <rPr>
        <sz val="11"/>
        <color rgb="FF53565A"/>
        <rFont val="Arial"/>
        <family val="2"/>
      </rPr>
      <t>. They detail important terms and conditions about insurance, including costs, your eligibility for cover, how much you can apply for, what you’re covered for, when it starts and stops, active employment, limited cover and exclusions, your insurance options, and what happens if you leave your employer. Your eligibility to claim for benefits will be determined by the Insurer in line with our insurance policy terms and conditions. TAL Life Limited ABN 70 050 109 450 AFSL 237848, is the Insurer for all insurance cover provided through AustralianSuper to its members.
This calculator is not intended to influence your decision about your super or any financial product. Before making financial decisions, it’s important you evaluate the appropriateness of insurance to your financial circumstances. You should consider the cost of cover over time as this may impact the amount of money you have in retirement. The higher the premiums the less savings you will have available for your income when you stop working.
Issued by AustralianSuper Pty Ltd ABN 94 006 457 987, AFSL 233788, the Trustee of AustralianSuper ABN 65 714 394 898.  
Last updated July 2022.</t>
    </r>
  </si>
  <si>
    <r>
      <t xml:space="preserve">The work rating you have is one of the factors that impacts the cost of your insurance cover. For more information on work ratings see the </t>
    </r>
    <r>
      <rPr>
        <i/>
        <sz val="11"/>
        <color rgb="FF53565A"/>
        <rFont val="Arial"/>
        <family val="2"/>
      </rPr>
      <t>AustralianSuper Select for Atlassian employees booklet</t>
    </r>
    <r>
      <rPr>
        <sz val="11"/>
        <color rgb="FF53565A"/>
        <rFont val="Arial"/>
        <family val="2"/>
      </rPr>
      <t xml:space="preserve"> at </t>
    </r>
    <r>
      <rPr>
        <b/>
        <sz val="11"/>
        <color rgb="FF53565A"/>
        <rFont val="Arial"/>
        <family val="2"/>
      </rPr>
      <t>australiansuper.com/atlassian</t>
    </r>
  </si>
  <si>
    <t>5% x Salary x Future Service to age 65</t>
  </si>
  <si>
    <r>
      <rPr>
        <b/>
        <sz val="22"/>
        <color rgb="FF171C94"/>
        <rFont val="Arial"/>
        <family val="2"/>
      </rPr>
      <t xml:space="preserve">Insurance calculator for Atlassian employees 
in AustralianSuper Select
</t>
    </r>
    <r>
      <rPr>
        <sz val="12"/>
        <color rgb="FF171C94"/>
        <rFont val="Arial"/>
        <family val="2"/>
      </rPr>
      <t>Rates are valid as at 1 Sept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</si>
</sst>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000"/>
    <numFmt numFmtId="165" formatCode="_-&quot;$&quot;* #,##0_-;\-&quot;$&quot;* #,##0_-;_-&quot;$&quot;* &quot;-&quot;??_-;_-@_-"/>
    <numFmt numFmtId="166" formatCode="&quot;$&quot;#,##0"/>
  </numFmts>
  <fonts count="40"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9"/>
      <color theme="1"/>
      <name val="Arial"/>
      <family val="2"/>
    </font>
    <font>
      <b/>
      <sz val="10"/>
      <color theme="1"/>
      <name val="Arial"/>
      <family val="2"/>
    </font>
    <font>
      <b/>
      <sz val="10"/>
      <color theme="1"/>
      <name val="Calibri"/>
      <family val="2"/>
      <scheme val="minor"/>
    </font>
    <font>
      <b/>
      <sz val="11"/>
      <color rgb="FF000000"/>
      <name val="Calibri"/>
      <family val="2"/>
    </font>
    <font>
      <sz val="11"/>
      <color rgb="FF000000"/>
      <name val="Calibri"/>
      <family val="2"/>
    </font>
    <font>
      <sz val="11"/>
      <color rgb="FFFF0000"/>
      <name val="Calibri"/>
      <family val="2"/>
      <scheme val="minor"/>
    </font>
    <font>
      <b/>
      <sz val="20"/>
      <color theme="1"/>
      <name val="Calibri"/>
      <family val="2"/>
      <scheme val="minor"/>
    </font>
    <font>
      <sz val="11"/>
      <color theme="1"/>
      <name val="Arial"/>
      <family val="2"/>
    </font>
    <font>
      <sz val="11"/>
      <color rgb="FFFF0000"/>
      <name val="Arial"/>
      <family val="2"/>
    </font>
    <font>
      <sz val="11"/>
      <color rgb="FF53565A"/>
      <name val="Arial"/>
      <family val="2"/>
    </font>
    <font>
      <sz val="18"/>
      <color rgb="FF171C94"/>
      <name val="Arial"/>
      <family val="2"/>
    </font>
    <font>
      <b/>
      <sz val="18"/>
      <color rgb="FF171C94"/>
      <name val="Arial"/>
      <family val="2"/>
    </font>
    <font>
      <sz val="18"/>
      <color rgb="FF53565A"/>
      <name val="Arial"/>
      <family val="2"/>
    </font>
    <font>
      <sz val="24"/>
      <color rgb="FF171C94"/>
      <name val="Arial Bold"/>
    </font>
    <font>
      <b/>
      <sz val="11"/>
      <color rgb="FF53565A"/>
      <name val="Arial"/>
      <family val="2"/>
    </font>
    <font>
      <sz val="8"/>
      <color rgb="FFFF0000"/>
      <name val="Arial"/>
      <family val="2"/>
    </font>
    <font>
      <sz val="11"/>
      <color rgb="FF53565A"/>
      <name val="Arial Bold"/>
    </font>
    <font>
      <sz val="14"/>
      <color rgb="FF171C94"/>
      <name val="Arial Bold"/>
    </font>
    <font>
      <sz val="9"/>
      <color rgb="FF53565A"/>
      <name val="Arial"/>
      <family val="2"/>
    </font>
    <font>
      <sz val="11"/>
      <color rgb="FF171C94"/>
      <name val="Arial Italic"/>
    </font>
    <font>
      <sz val="14"/>
      <color rgb="FF171C94"/>
      <name val="Arial Italic"/>
    </font>
    <font>
      <i/>
      <sz val="11"/>
      <color rgb="FF53565A"/>
      <name val="Arial"/>
      <family val="2"/>
    </font>
    <font>
      <b/>
      <sz val="14"/>
      <color rgb="FF171C94"/>
      <name val="Arial Bold"/>
    </font>
    <font>
      <sz val="14"/>
      <color rgb="FF53565A"/>
      <name val="Arial"/>
      <family val="2"/>
    </font>
    <font>
      <sz val="14"/>
      <color theme="1"/>
      <name val="Arial"/>
      <family val="2"/>
    </font>
    <font>
      <b/>
      <sz val="14"/>
      <color rgb="FF171C94"/>
      <name val="Arial"/>
      <family val="2"/>
    </font>
    <font>
      <b/>
      <sz val="11"/>
      <color rgb="FF53565A"/>
      <name val="Arial Italic"/>
    </font>
    <font>
      <b/>
      <i/>
      <sz val="11"/>
      <color rgb="FF53565A"/>
      <name val="Arial Italic"/>
    </font>
    <font>
      <sz val="18"/>
      <color theme="1"/>
      <name val="Arial"/>
      <family val="2"/>
    </font>
    <font>
      <sz val="18"/>
      <color rgb="FFEB6800"/>
      <name val="Arial"/>
      <family val="2"/>
    </font>
    <font>
      <sz val="18"/>
      <color rgb="FF171C94"/>
      <name val="Arial Bold"/>
    </font>
    <font>
      <b/>
      <sz val="18"/>
      <color rgb="FFEB6800"/>
      <name val="Arial"/>
      <family val="2"/>
    </font>
    <font>
      <b/>
      <sz val="24"/>
      <color theme="1"/>
      <name val="Arial"/>
      <family val="2"/>
    </font>
    <font>
      <b/>
      <sz val="24"/>
      <color rgb="FF171C94"/>
      <name val="Arial"/>
      <family val="2"/>
    </font>
    <font>
      <b/>
      <sz val="22"/>
      <color rgb="FF171C94"/>
      <name val="Arial"/>
      <family val="2"/>
    </font>
    <font>
      <sz val="12"/>
      <color rgb="FF171C94"/>
      <name val="Arial"/>
      <family val="2"/>
    </font>
  </fonts>
  <fills count="21">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rgb="FFC5D9F1"/>
        <bgColor rgb="FF000000"/>
      </patternFill>
    </fill>
    <fill>
      <patternFill patternType="solid">
        <fgColor rgb="FFF4B083"/>
        <bgColor rgb="FF000000"/>
      </patternFill>
    </fill>
    <fill>
      <patternFill patternType="solid">
        <fgColor theme="5"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rgb="FFC8D8ED"/>
        <bgColor indexed="64"/>
      </patternFill>
    </fill>
    <fill>
      <patternFill patternType="solid">
        <fgColor rgb="FFD9D9D6"/>
        <bgColor indexed="64"/>
      </patternFill>
    </fill>
    <fill>
      <patternFill patternType="solid">
        <fgColor rgb="FFEBEBEB"/>
        <bgColor indexed="64"/>
      </patternFill>
    </fill>
    <fill>
      <patternFill patternType="solid">
        <fgColor theme="0"/>
        <bgColor indexed="64"/>
      </patternFill>
    </fill>
    <fill>
      <patternFill patternType="solid">
        <fgColor rgb="FFFFA300"/>
        <bgColor indexed="64"/>
      </patternFill>
    </fill>
    <fill>
      <patternFill patternType="solid">
        <fgColor theme="0"/>
        <bgColor theme="0"/>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1" fillId="0" borderId="0"/>
  </cellStyleXfs>
  <cellXfs count="172">
    <xf numFmtId="0" fontId="0" fillId="0" borderId="0" xfId="0"/>
    <xf numFmtId="0" fontId="2" fillId="0" borderId="0" xfId="0" applyFont="1"/>
    <xf numFmtId="0" fontId="0" fillId="0" borderId="0" xfId="0" applyAlignment="1">
      <alignment horizontal="center"/>
    </xf>
    <xf numFmtId="14" fontId="0" fillId="0" borderId="0" xfId="0" applyNumberFormat="1" applyAlignment="1">
      <alignment horizontal="center"/>
    </xf>
    <xf numFmtId="0" fontId="3" fillId="2" borderId="0" xfId="0" applyFont="1" applyFill="1"/>
    <xf numFmtId="0" fontId="0" fillId="2" borderId="0" xfId="0" applyFill="1" applyAlignment="1">
      <alignment horizontal="center"/>
    </xf>
    <xf numFmtId="0" fontId="0" fillId="2" borderId="0" xfId="0" applyFill="1"/>
    <xf numFmtId="0" fontId="2" fillId="0" borderId="0" xfId="0" applyFont="1" applyAlignment="1">
      <alignment horizontal="left"/>
    </xf>
    <xf numFmtId="0" fontId="2" fillId="3" borderId="4" xfId="0" applyFont="1" applyFill="1" applyBorder="1" applyAlignment="1">
      <alignment horizontal="center" vertical="center" wrapText="1"/>
    </xf>
    <xf numFmtId="4" fontId="4" fillId="4" borderId="2"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wrapText="1"/>
    </xf>
    <xf numFmtId="4" fontId="4" fillId="6" borderId="2" xfId="0" applyNumberFormat="1" applyFont="1" applyFill="1" applyBorder="1" applyAlignment="1">
      <alignment horizontal="center" vertical="center" wrapText="1"/>
    </xf>
    <xf numFmtId="0" fontId="2" fillId="3" borderId="4" xfId="0" applyFont="1" applyFill="1" applyBorder="1" applyAlignment="1">
      <alignment horizontal="center" vertical="center"/>
    </xf>
    <xf numFmtId="0" fontId="2" fillId="4" borderId="4"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4" xfId="0" applyFont="1" applyFill="1" applyBorder="1" applyAlignment="1">
      <alignment horizontal="center" vertical="center"/>
    </xf>
    <xf numFmtId="0" fontId="5" fillId="7" borderId="4" xfId="0" applyFont="1" applyFill="1" applyBorder="1" applyAlignment="1">
      <alignment horizontal="center" vertical="center" wrapText="1"/>
    </xf>
    <xf numFmtId="0" fontId="6" fillId="7" borderId="4" xfId="0" applyFont="1" applyFill="1" applyBorder="1" applyAlignment="1">
      <alignment horizontal="center" vertical="center"/>
    </xf>
    <xf numFmtId="0" fontId="4" fillId="0" borderId="6" xfId="0" applyFont="1" applyBorder="1" applyAlignment="1">
      <alignment horizontal="center" vertical="center" wrapText="1"/>
    </xf>
    <xf numFmtId="164" fontId="0" fillId="0" borderId="4" xfId="1" applyNumberFormat="1" applyFont="1" applyBorder="1" applyAlignment="1">
      <alignment horizontal="center"/>
    </xf>
    <xf numFmtId="0" fontId="4" fillId="0" borderId="4" xfId="0" applyFont="1" applyBorder="1" applyAlignment="1">
      <alignment horizontal="center" vertical="center" wrapText="1"/>
    </xf>
    <xf numFmtId="0" fontId="0" fillId="0" borderId="4" xfId="0" applyBorder="1" applyAlignment="1">
      <alignment horizontal="center"/>
    </xf>
    <xf numFmtId="0" fontId="0" fillId="0" borderId="4" xfId="0" applyBorder="1"/>
    <xf numFmtId="4" fontId="4" fillId="6" borderId="4" xfId="0" applyNumberFormat="1" applyFont="1" applyFill="1" applyBorder="1" applyAlignment="1">
      <alignment horizontal="center" vertical="center" wrapText="1"/>
    </xf>
    <xf numFmtId="0" fontId="0" fillId="9" borderId="4" xfId="0" applyFill="1" applyBorder="1" applyAlignment="1">
      <alignment horizontal="center"/>
    </xf>
    <xf numFmtId="0" fontId="0" fillId="8" borderId="4" xfId="0" applyFill="1" applyBorder="1"/>
    <xf numFmtId="0" fontId="0" fillId="8" borderId="4" xfId="0" applyFill="1" applyBorder="1" applyAlignment="1">
      <alignment horizontal="center"/>
    </xf>
    <xf numFmtId="0" fontId="7" fillId="0" borderId="4" xfId="0" applyFont="1" applyBorder="1" applyAlignment="1">
      <alignment vertical="center"/>
    </xf>
    <xf numFmtId="9" fontId="8" fillId="0" borderId="4" xfId="0" applyNumberFormat="1" applyFont="1" applyBorder="1" applyAlignment="1">
      <alignment horizontal="center" vertical="center"/>
    </xf>
    <xf numFmtId="0" fontId="7" fillId="11" borderId="4" xfId="0" applyFont="1" applyFill="1" applyBorder="1" applyAlignment="1">
      <alignment vertical="center"/>
    </xf>
    <xf numFmtId="9" fontId="8" fillId="11" borderId="4" xfId="0" applyNumberFormat="1" applyFont="1" applyFill="1" applyBorder="1" applyAlignment="1">
      <alignment horizontal="center" vertical="center"/>
    </xf>
    <xf numFmtId="1" fontId="0" fillId="0" borderId="0" xfId="0" applyNumberFormat="1"/>
    <xf numFmtId="0" fontId="0" fillId="0" borderId="0" xfId="0" applyAlignment="1">
      <alignment horizontal="right"/>
    </xf>
    <xf numFmtId="0" fontId="0" fillId="12" borderId="0" xfId="0" applyFill="1"/>
    <xf numFmtId="0" fontId="2" fillId="0" borderId="4" xfId="0" applyFont="1" applyBorder="1"/>
    <xf numFmtId="0" fontId="7" fillId="10" borderId="4" xfId="0" applyFont="1" applyFill="1" applyBorder="1" applyAlignment="1">
      <alignment horizontal="center" vertical="center"/>
    </xf>
    <xf numFmtId="14" fontId="0" fillId="9" borderId="4" xfId="0" applyNumberFormat="1" applyFill="1" applyBorder="1" applyAlignment="1">
      <alignment horizontal="center"/>
    </xf>
    <xf numFmtId="0" fontId="0" fillId="9" borderId="4" xfId="0" applyNumberFormat="1" applyFill="1" applyBorder="1" applyAlignment="1">
      <alignment horizontal="center"/>
    </xf>
    <xf numFmtId="0" fontId="9" fillId="0" borderId="0" xfId="0" applyFont="1" applyAlignment="1">
      <alignment wrapText="1"/>
    </xf>
    <xf numFmtId="0" fontId="0" fillId="3" borderId="4" xfId="0" applyFill="1" applyBorder="1"/>
    <xf numFmtId="0" fontId="0" fillId="3" borderId="4" xfId="0" applyNumberFormat="1" applyFill="1" applyBorder="1"/>
    <xf numFmtId="0" fontId="0" fillId="0" borderId="4" xfId="0" applyFill="1" applyBorder="1" applyAlignment="1">
      <alignment horizontal="center"/>
    </xf>
    <xf numFmtId="0" fontId="0" fillId="0" borderId="4" xfId="0" applyBorder="1" applyAlignment="1">
      <alignment horizontal="center" wrapText="1"/>
    </xf>
    <xf numFmtId="0" fontId="0" fillId="8" borderId="4" xfId="0" applyFill="1" applyBorder="1" applyAlignment="1">
      <alignment horizontal="center" wrapText="1"/>
    </xf>
    <xf numFmtId="0" fontId="0" fillId="0" borderId="4" xfId="0" applyFill="1" applyBorder="1" applyAlignment="1">
      <alignment horizontal="center" wrapText="1"/>
    </xf>
    <xf numFmtId="0" fontId="0" fillId="14" borderId="4" xfId="0" applyFill="1" applyBorder="1"/>
    <xf numFmtId="9" fontId="0" fillId="14" borderId="4" xfId="0" applyNumberFormat="1" applyFill="1" applyBorder="1" applyAlignment="1">
      <alignment horizontal="center" wrapText="1"/>
    </xf>
    <xf numFmtId="0" fontId="0" fillId="12" borderId="4" xfId="0" applyFill="1" applyBorder="1"/>
    <xf numFmtId="9" fontId="0" fillId="12" borderId="4" xfId="0" applyNumberFormat="1" applyFill="1" applyBorder="1" applyAlignment="1">
      <alignment horizontal="center" wrapText="1"/>
    </xf>
    <xf numFmtId="0" fontId="0" fillId="12" borderId="4" xfId="0" applyFill="1" applyBorder="1" applyAlignment="1">
      <alignment horizontal="center" wrapText="1"/>
    </xf>
    <xf numFmtId="0" fontId="0" fillId="14" borderId="4" xfId="0" applyFill="1" applyBorder="1" applyAlignment="1">
      <alignment horizontal="center" wrapText="1"/>
    </xf>
    <xf numFmtId="0" fontId="0" fillId="14" borderId="4" xfId="0" applyFill="1" applyBorder="1" applyAlignment="1">
      <alignment wrapText="1"/>
    </xf>
    <xf numFmtId="0" fontId="0" fillId="0" borderId="4" xfId="0" applyNumberFormat="1" applyFill="1" applyBorder="1" applyAlignment="1">
      <alignment horizontal="center"/>
    </xf>
    <xf numFmtId="0" fontId="0" fillId="0" borderId="4" xfId="0" applyNumberFormat="1" applyBorder="1" applyAlignment="1">
      <alignment horizontal="center"/>
    </xf>
    <xf numFmtId="0" fontId="0" fillId="0" borderId="4" xfId="0" applyFill="1" applyBorder="1"/>
    <xf numFmtId="0" fontId="0" fillId="0" borderId="1" xfId="0" applyBorder="1" applyAlignment="1">
      <alignment horizontal="left"/>
    </xf>
    <xf numFmtId="0" fontId="0" fillId="8" borderId="1" xfId="0" applyFill="1" applyBorder="1" applyAlignment="1">
      <alignment horizontal="center"/>
    </xf>
    <xf numFmtId="0" fontId="0" fillId="12" borderId="4" xfId="0" applyFill="1" applyBorder="1" applyAlignment="1">
      <alignment horizontal="left" wrapText="1"/>
    </xf>
    <xf numFmtId="0" fontId="0" fillId="12" borderId="4" xfId="2" applyNumberFormat="1" applyFont="1" applyFill="1" applyBorder="1" applyAlignment="1">
      <alignment horizontal="center" wrapText="1"/>
    </xf>
    <xf numFmtId="0" fontId="0" fillId="0" borderId="4" xfId="0" applyFill="1" applyBorder="1" applyAlignment="1">
      <alignment horizontal="left" wrapText="1"/>
    </xf>
    <xf numFmtId="0" fontId="0" fillId="0" borderId="4" xfId="0" applyFill="1" applyBorder="1" applyAlignment="1">
      <alignment wrapText="1"/>
    </xf>
    <xf numFmtId="165" fontId="0" fillId="9" borderId="4" xfId="2" applyNumberFormat="1" applyFont="1" applyFill="1" applyBorder="1" applyAlignment="1"/>
    <xf numFmtId="0" fontId="0" fillId="0" borderId="0" xfId="0" applyBorder="1" applyAlignment="1">
      <alignment horizontal="right"/>
    </xf>
    <xf numFmtId="0" fontId="2" fillId="0" borderId="0" xfId="0" applyFont="1" applyFill="1" applyBorder="1"/>
    <xf numFmtId="14" fontId="0" fillId="0" borderId="4" xfId="0" applyNumberFormat="1" applyBorder="1" applyAlignment="1">
      <alignment horizontal="center"/>
    </xf>
    <xf numFmtId="165" fontId="0" fillId="0" borderId="0" xfId="2" applyNumberFormat="1" applyFont="1" applyAlignment="1">
      <alignment horizontal="center"/>
    </xf>
    <xf numFmtId="0" fontId="0" fillId="0" borderId="0" xfId="0" applyAlignment="1">
      <alignment horizontal="left"/>
    </xf>
    <xf numFmtId="0" fontId="2" fillId="12" borderId="4" xfId="0" applyFont="1" applyFill="1" applyBorder="1"/>
    <xf numFmtId="44" fontId="0" fillId="9" borderId="4" xfId="2" applyFont="1" applyFill="1" applyBorder="1" applyAlignment="1">
      <alignment horizontal="right"/>
    </xf>
    <xf numFmtId="44" fontId="0" fillId="12" borderId="4" xfId="0" applyNumberFormat="1" applyFill="1" applyBorder="1" applyAlignment="1">
      <alignment horizontal="right"/>
    </xf>
    <xf numFmtId="0" fontId="2" fillId="8" borderId="4" xfId="0" applyFont="1" applyFill="1" applyBorder="1"/>
    <xf numFmtId="44" fontId="0" fillId="8" borderId="4" xfId="2" applyFont="1" applyFill="1" applyBorder="1" applyAlignment="1">
      <alignment horizontal="right"/>
    </xf>
    <xf numFmtId="44" fontId="0" fillId="8" borderId="4" xfId="0" applyNumberFormat="1" applyFill="1" applyBorder="1" applyAlignment="1">
      <alignment horizontal="right"/>
    </xf>
    <xf numFmtId="44" fontId="0" fillId="0" borderId="4" xfId="2" applyFont="1" applyBorder="1" applyAlignment="1">
      <alignment horizontal="right"/>
    </xf>
    <xf numFmtId="44" fontId="0" fillId="0" borderId="4" xfId="0" applyNumberFormat="1" applyBorder="1" applyAlignment="1">
      <alignment horizontal="right"/>
    </xf>
    <xf numFmtId="2" fontId="0" fillId="0" borderId="4" xfId="0" applyNumberFormat="1" applyFill="1" applyBorder="1" applyAlignment="1">
      <alignment horizontal="center"/>
    </xf>
    <xf numFmtId="0" fontId="0" fillId="14" borderId="0" xfId="0" applyFill="1"/>
    <xf numFmtId="2" fontId="0" fillId="9" borderId="4" xfId="0" applyNumberFormat="1" applyFill="1" applyBorder="1" applyAlignment="1">
      <alignment horizontal="center"/>
    </xf>
    <xf numFmtId="0" fontId="0" fillId="9" borderId="4" xfId="0" applyFill="1" applyBorder="1" applyAlignment="1">
      <alignment horizontal="center" wrapText="1"/>
    </xf>
    <xf numFmtId="0" fontId="11" fillId="0" borderId="0" xfId="4" applyAlignment="1">
      <alignment wrapText="1"/>
    </xf>
    <xf numFmtId="0" fontId="11" fillId="15" borderId="0" xfId="4" applyFill="1" applyAlignment="1">
      <alignment vertical="top" wrapText="1"/>
    </xf>
    <xf numFmtId="0" fontId="11" fillId="15" borderId="0" xfId="4" applyFill="1" applyAlignment="1">
      <alignment horizontal="right" vertical="top" wrapText="1"/>
    </xf>
    <xf numFmtId="0" fontId="12" fillId="15" borderId="0" xfId="4" applyFont="1" applyFill="1" applyAlignment="1">
      <alignment horizontal="right" vertical="top" wrapText="1"/>
    </xf>
    <xf numFmtId="0" fontId="11" fillId="16" borderId="0" xfId="4" applyFill="1" applyAlignment="1">
      <alignment vertical="top" wrapText="1"/>
    </xf>
    <xf numFmtId="0" fontId="16" fillId="15" borderId="0" xfId="4" applyFont="1" applyFill="1" applyAlignment="1">
      <alignment vertical="top" wrapText="1"/>
    </xf>
    <xf numFmtId="0" fontId="14" fillId="15" borderId="0" xfId="4" applyFont="1" applyFill="1" applyAlignment="1">
      <alignment vertical="top" wrapText="1"/>
    </xf>
    <xf numFmtId="0" fontId="17" fillId="15" borderId="0" xfId="4" applyFont="1" applyFill="1" applyAlignment="1">
      <alignment vertical="top" wrapText="1"/>
    </xf>
    <xf numFmtId="0" fontId="19" fillId="16" borderId="0" xfId="4" applyFont="1" applyFill="1" applyAlignment="1">
      <alignment vertical="top" wrapText="1"/>
    </xf>
    <xf numFmtId="0" fontId="20" fillId="16" borderId="0" xfId="4" applyFont="1" applyFill="1" applyAlignment="1">
      <alignment wrapText="1"/>
    </xf>
    <xf numFmtId="0" fontId="11" fillId="14" borderId="0" xfId="4" applyFill="1" applyAlignment="1">
      <alignment vertical="top" wrapText="1"/>
    </xf>
    <xf numFmtId="0" fontId="11" fillId="17" borderId="0" xfId="4" applyFill="1" applyAlignment="1">
      <alignment vertical="top" wrapText="1"/>
    </xf>
    <xf numFmtId="44" fontId="21" fillId="17" borderId="0" xfId="4" applyNumberFormat="1" applyFont="1" applyFill="1" applyAlignment="1">
      <alignment horizontal="left" vertical="center" wrapText="1"/>
    </xf>
    <xf numFmtId="0" fontId="22" fillId="17" borderId="0" xfId="4" applyFont="1" applyFill="1" applyAlignment="1">
      <alignment vertical="top" wrapText="1"/>
    </xf>
    <xf numFmtId="0" fontId="13" fillId="17" borderId="0" xfId="4" applyFont="1" applyFill="1" applyAlignment="1">
      <alignment vertical="top" wrapText="1"/>
    </xf>
    <xf numFmtId="0" fontId="23" fillId="18" borderId="0" xfId="4" applyFont="1" applyFill="1" applyAlignment="1">
      <alignment horizontal="left" vertical="top" wrapText="1" indent="1"/>
    </xf>
    <xf numFmtId="0" fontId="24" fillId="18" borderId="0" xfId="4" applyFont="1" applyFill="1" applyAlignment="1">
      <alignment horizontal="left" vertical="center" wrapText="1" indent="1"/>
    </xf>
    <xf numFmtId="0" fontId="22" fillId="14" borderId="0" xfId="4" applyFont="1" applyFill="1" applyAlignment="1">
      <alignment vertical="top" wrapText="1"/>
    </xf>
    <xf numFmtId="0" fontId="13" fillId="14" borderId="0" xfId="4" applyFont="1" applyFill="1" applyAlignment="1">
      <alignment vertical="center" wrapText="1"/>
    </xf>
    <xf numFmtId="0" fontId="26" fillId="17" borderId="0" xfId="4" applyFont="1" applyFill="1" applyAlignment="1">
      <alignment vertical="top" wrapText="1"/>
    </xf>
    <xf numFmtId="0" fontId="21" fillId="19" borderId="0" xfId="4" applyFont="1" applyFill="1" applyAlignment="1" applyProtection="1">
      <alignment horizontal="center" vertical="center" wrapText="1"/>
      <protection locked="0"/>
    </xf>
    <xf numFmtId="44" fontId="13" fillId="17" borderId="0" xfId="4" applyNumberFormat="1" applyFont="1" applyFill="1" applyAlignment="1">
      <alignment vertical="top" wrapText="1"/>
    </xf>
    <xf numFmtId="0" fontId="27" fillId="18" borderId="0" xfId="4" applyFont="1" applyFill="1" applyAlignment="1">
      <alignment horizontal="center" vertical="top" wrapText="1"/>
    </xf>
    <xf numFmtId="0" fontId="13" fillId="18" borderId="0" xfId="4" applyFont="1" applyFill="1" applyAlignment="1">
      <alignment horizontal="left" vertical="top" wrapText="1" indent="1"/>
    </xf>
    <xf numFmtId="0" fontId="21" fillId="19" borderId="0" xfId="2" applyNumberFormat="1" applyFont="1" applyFill="1" applyBorder="1" applyAlignment="1" applyProtection="1">
      <alignment horizontal="center" vertical="center" wrapText="1"/>
      <protection locked="0"/>
    </xf>
    <xf numFmtId="0" fontId="13" fillId="17" borderId="0" xfId="4" applyFont="1" applyFill="1" applyAlignment="1">
      <alignment vertical="center" wrapText="1"/>
    </xf>
    <xf numFmtId="0" fontId="27" fillId="18" borderId="0" xfId="4" applyFont="1" applyFill="1" applyAlignment="1">
      <alignment vertical="top" wrapText="1"/>
    </xf>
    <xf numFmtId="0" fontId="13" fillId="18" borderId="0" xfId="4" applyFont="1" applyFill="1" applyAlignment="1">
      <alignment horizontal="left" vertical="center" wrapText="1" indent="1"/>
    </xf>
    <xf numFmtId="165" fontId="21" fillId="19" borderId="0" xfId="2" applyNumberFormat="1" applyFont="1" applyFill="1" applyBorder="1" applyAlignment="1" applyProtection="1">
      <alignment horizontal="center" vertical="center" wrapText="1"/>
      <protection locked="0"/>
    </xf>
    <xf numFmtId="0" fontId="18" fillId="14" borderId="0" xfId="4" applyFont="1" applyFill="1" applyAlignment="1">
      <alignment vertical="center" wrapText="1"/>
    </xf>
    <xf numFmtId="0" fontId="27" fillId="18" borderId="0" xfId="4" applyFont="1" applyFill="1" applyAlignment="1">
      <alignment horizontal="center" vertical="center" wrapText="1"/>
    </xf>
    <xf numFmtId="0" fontId="18" fillId="18" borderId="0" xfId="4" applyFont="1" applyFill="1" applyAlignment="1">
      <alignment horizontal="left" wrapText="1" indent="1"/>
    </xf>
    <xf numFmtId="0" fontId="28" fillId="18" borderId="0" xfId="4" applyFont="1" applyFill="1" applyAlignment="1">
      <alignment vertical="top" wrapText="1"/>
    </xf>
    <xf numFmtId="166" fontId="21" fillId="19" borderId="0" xfId="2" applyNumberFormat="1" applyFont="1" applyFill="1" applyBorder="1" applyAlignment="1" applyProtection="1">
      <alignment horizontal="center" vertical="center" wrapText="1"/>
      <protection locked="0"/>
    </xf>
    <xf numFmtId="0" fontId="11" fillId="0" borderId="0" xfId="4" applyAlignment="1">
      <alignment vertical="center" wrapText="1"/>
    </xf>
    <xf numFmtId="0" fontId="11" fillId="14" borderId="0" xfId="4" applyFill="1" applyAlignment="1">
      <alignment vertical="center" wrapText="1"/>
    </xf>
    <xf numFmtId="0" fontId="11" fillId="17" borderId="0" xfId="4" applyFill="1" applyAlignment="1">
      <alignment vertical="center" wrapText="1"/>
    </xf>
    <xf numFmtId="14" fontId="21" fillId="19" borderId="0" xfId="4" applyNumberFormat="1" applyFont="1" applyFill="1" applyAlignment="1" applyProtection="1">
      <alignment horizontal="center" vertical="center" wrapText="1"/>
      <protection locked="0"/>
    </xf>
    <xf numFmtId="0" fontId="20" fillId="18" borderId="0" xfId="4" applyFont="1" applyFill="1" applyAlignment="1">
      <alignment horizontal="left" vertical="center" wrapText="1" indent="1"/>
    </xf>
    <xf numFmtId="0" fontId="27" fillId="20" borderId="0" xfId="4" applyFont="1" applyFill="1" applyAlignment="1">
      <alignment horizontal="center" vertical="center" wrapText="1"/>
    </xf>
    <xf numFmtId="0" fontId="30" fillId="14" borderId="0" xfId="4" applyFont="1" applyFill="1" applyAlignment="1">
      <alignment vertical="center" wrapText="1"/>
    </xf>
    <xf numFmtId="0" fontId="32" fillId="0" borderId="0" xfId="4" applyFont="1" applyAlignment="1">
      <alignment vertical="center" wrapText="1"/>
    </xf>
    <xf numFmtId="0" fontId="32" fillId="14" borderId="0" xfId="4" applyFont="1" applyFill="1" applyAlignment="1">
      <alignment vertical="center" wrapText="1"/>
    </xf>
    <xf numFmtId="0" fontId="32" fillId="17" borderId="0" xfId="4" applyFont="1" applyFill="1" applyAlignment="1">
      <alignment vertical="center" wrapText="1"/>
    </xf>
    <xf numFmtId="0" fontId="33" fillId="17" borderId="0" xfId="4" applyFont="1" applyFill="1" applyAlignment="1">
      <alignment horizontal="left" vertical="center" wrapText="1"/>
    </xf>
    <xf numFmtId="0" fontId="34" fillId="17" borderId="0" xfId="4" applyFont="1" applyFill="1" applyAlignment="1">
      <alignment horizontal="left" vertical="center" wrapText="1"/>
    </xf>
    <xf numFmtId="0" fontId="36" fillId="17" borderId="0" xfId="4" applyFont="1" applyFill="1" applyAlignment="1">
      <alignment horizontal="left" vertical="top" wrapText="1"/>
    </xf>
    <xf numFmtId="0" fontId="11" fillId="18" borderId="0" xfId="4" applyFill="1" applyAlignment="1">
      <alignment vertical="top" wrapText="1"/>
    </xf>
    <xf numFmtId="0" fontId="11" fillId="18" borderId="0" xfId="4" applyFill="1" applyAlignment="1">
      <alignment horizontal="center" vertical="top" wrapText="1"/>
    </xf>
    <xf numFmtId="0" fontId="10" fillId="18" borderId="0" xfId="4" applyFont="1" applyFill="1" applyAlignment="1">
      <alignment vertical="top" wrapText="1"/>
    </xf>
    <xf numFmtId="0" fontId="0" fillId="13" borderId="1" xfId="0" applyFill="1" applyBorder="1" applyAlignment="1">
      <alignment horizontal="center"/>
    </xf>
    <xf numFmtId="0" fontId="20" fillId="0" borderId="0" xfId="4" applyFont="1" applyFill="1" applyAlignment="1">
      <alignment horizontal="left" vertical="center" wrapText="1" indent="1"/>
    </xf>
    <xf numFmtId="0" fontId="0" fillId="0" borderId="0" xfId="0" quotePrefix="1"/>
    <xf numFmtId="0" fontId="0" fillId="0" borderId="0" xfId="0" quotePrefix="1" applyAlignment="1">
      <alignment horizontal="center" wrapText="1"/>
    </xf>
    <xf numFmtId="44" fontId="21" fillId="18" borderId="0" xfId="4" applyNumberFormat="1" applyFont="1" applyFill="1" applyAlignment="1">
      <alignment horizontal="center" vertical="center" wrapText="1"/>
    </xf>
    <xf numFmtId="165" fontId="21" fillId="18" borderId="0" xfId="4" applyNumberFormat="1" applyFont="1" applyFill="1" applyAlignment="1">
      <alignment horizontal="center" vertical="center" wrapText="1"/>
    </xf>
    <xf numFmtId="14" fontId="0" fillId="0" borderId="0" xfId="0" applyNumberFormat="1"/>
    <xf numFmtId="4" fontId="4" fillId="4" borderId="2" xfId="0" applyNumberFormat="1" applyFont="1" applyFill="1" applyBorder="1" applyAlignment="1">
      <alignment horizontal="center" vertical="center" wrapText="1"/>
    </xf>
    <xf numFmtId="4" fontId="4" fillId="6" borderId="4" xfId="0" applyNumberFormat="1" applyFont="1" applyFill="1" applyBorder="1" applyAlignment="1">
      <alignment horizontal="center" vertical="center" wrapText="1"/>
    </xf>
    <xf numFmtId="0" fontId="15" fillId="14" borderId="0" xfId="4" applyFont="1" applyFill="1" applyAlignment="1">
      <alignment vertical="center" wrapText="1"/>
    </xf>
    <xf numFmtId="0" fontId="30" fillId="17" borderId="0" xfId="4" applyFont="1" applyFill="1" applyAlignment="1">
      <alignment horizontal="left" vertical="center" wrapText="1"/>
    </xf>
    <xf numFmtId="0" fontId="14" fillId="15" borderId="0" xfId="4" applyFont="1" applyFill="1" applyAlignment="1">
      <alignment vertical="top" wrapText="1"/>
    </xf>
    <xf numFmtId="0" fontId="13" fillId="14" borderId="0" xfId="4" applyFont="1" applyFill="1" applyAlignment="1">
      <alignment vertical="top" wrapText="1"/>
    </xf>
    <xf numFmtId="0" fontId="13" fillId="17" borderId="0" xfId="4" applyFont="1" applyFill="1" applyAlignment="1">
      <alignment vertical="top" wrapText="1"/>
    </xf>
    <xf numFmtId="0" fontId="29" fillId="17" borderId="0" xfId="4" applyFont="1" applyFill="1" applyAlignment="1">
      <alignment vertical="center" wrapText="1"/>
    </xf>
    <xf numFmtId="0" fontId="29" fillId="14" borderId="0" xfId="4" applyFont="1" applyFill="1" applyAlignment="1">
      <alignment vertical="center" wrapText="1"/>
    </xf>
    <xf numFmtId="0" fontId="24" fillId="17" borderId="0" xfId="4" applyFont="1" applyFill="1" applyAlignment="1">
      <alignment vertical="top" wrapText="1"/>
    </xf>
    <xf numFmtId="0" fontId="13" fillId="17" borderId="0" xfId="4" applyFont="1" applyFill="1" applyAlignment="1">
      <alignment vertical="center" wrapText="1"/>
    </xf>
    <xf numFmtId="0" fontId="13" fillId="17" borderId="0" xfId="4" applyFont="1" applyFill="1" applyAlignment="1">
      <alignment horizontal="left" vertical="top" wrapText="1" indent="1"/>
    </xf>
    <xf numFmtId="0" fontId="31" fillId="18" borderId="0" xfId="4" applyFont="1" applyFill="1" applyAlignment="1">
      <alignment horizontal="left" vertical="center" wrapText="1" indent="1"/>
    </xf>
    <xf numFmtId="0" fontId="33" fillId="17" borderId="0" xfId="4" applyFont="1" applyFill="1" applyAlignment="1">
      <alignment horizontal="left" vertical="center" wrapText="1"/>
    </xf>
    <xf numFmtId="0" fontId="37" fillId="18" borderId="0" xfId="4" applyFont="1" applyFill="1" applyAlignment="1">
      <alignment horizontal="left" vertical="top" wrapText="1"/>
    </xf>
    <xf numFmtId="0" fontId="13" fillId="16" borderId="0" xfId="4" applyFont="1" applyFill="1" applyAlignment="1">
      <alignment vertical="top" wrapText="1"/>
    </xf>
    <xf numFmtId="0" fontId="15" fillId="17" borderId="0" xfId="4" applyFont="1" applyFill="1" applyAlignment="1">
      <alignment vertical="center" wrapText="1"/>
    </xf>
    <xf numFmtId="0" fontId="7" fillId="10" borderId="4"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4" fontId="4" fillId="4" borderId="2" xfId="0" applyNumberFormat="1" applyFont="1" applyFill="1" applyBorder="1" applyAlignment="1">
      <alignment horizontal="center" vertical="center" wrapText="1"/>
    </xf>
    <xf numFmtId="4" fontId="4" fillId="4" borderId="3" xfId="0" applyNumberFormat="1" applyFont="1" applyFill="1" applyBorder="1" applyAlignment="1">
      <alignment horizontal="center" vertical="center" wrapText="1"/>
    </xf>
    <xf numFmtId="4" fontId="4" fillId="4" borderId="7"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4" fillId="5" borderId="7" xfId="0" applyNumberFormat="1" applyFont="1" applyFill="1" applyBorder="1" applyAlignment="1">
      <alignment horizontal="center" vertical="center" wrapText="1"/>
    </xf>
    <xf numFmtId="4" fontId="4" fillId="6" borderId="2"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4" fillId="6" borderId="7"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4" fontId="4" fillId="4" borderId="4" xfId="0" applyNumberFormat="1" applyFont="1" applyFill="1" applyBorder="1" applyAlignment="1">
      <alignment horizontal="center" vertical="center" wrapText="1"/>
    </xf>
    <xf numFmtId="4" fontId="4" fillId="5" borderId="4" xfId="0" applyNumberFormat="1" applyFont="1" applyFill="1" applyBorder="1" applyAlignment="1">
      <alignment horizontal="center" vertical="center" wrapText="1"/>
    </xf>
    <xf numFmtId="4" fontId="4" fillId="6" borderId="4" xfId="0" applyNumberFormat="1" applyFont="1" applyFill="1" applyBorder="1" applyAlignment="1">
      <alignment horizontal="center" vertical="center" wrapText="1"/>
    </xf>
  </cellXfs>
  <cellStyles count="5">
    <cellStyle name="Comma" xfId="1" builtinId="3"/>
    <cellStyle name="Currency" xfId="2" builtinId="4"/>
    <cellStyle name="Normal" xfId="0" builtinId="0"/>
    <cellStyle name="Normal 2" xfId="4" xr:uid="{FDADA380-DBBD-45F2-80C3-6920D2E22E92}"/>
    <cellStyle name="Normal 7" xfId="3" xr:uid="{C3E6A092-9CE1-4A3A-A33F-9BA055FEF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2599363</xdr:colOff>
      <xdr:row>0</xdr:row>
      <xdr:rowOff>0</xdr:rowOff>
    </xdr:from>
    <xdr:to>
      <xdr:col>11</xdr:col>
      <xdr:colOff>0</xdr:colOff>
      <xdr:row>1</xdr:row>
      <xdr:rowOff>987972</xdr:rowOff>
    </xdr:to>
    <xdr:pic>
      <xdr:nvPicPr>
        <xdr:cNvPr id="4" name="Picture 3">
          <a:extLst>
            <a:ext uri="{FF2B5EF4-FFF2-40B4-BE49-F238E27FC236}">
              <a16:creationId xmlns:a16="http://schemas.microsoft.com/office/drawing/2014/main" id="{592033DA-6E5F-44D5-BDF0-503DCB8874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29563" y="0"/>
          <a:ext cx="3163262" cy="11467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m_syd_fs1\data\MSD\EXCEL\MIKE\SEP98\BOND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_syd_fs1\data\MSD\EXCEL\MIKE\SEP98\BOND09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analysis"/>
      <sheetName val="charges"/>
      <sheetName val="YE adj"/>
      <sheetName val="Valuation"/>
      <sheetName val="factors"/>
      <sheetName val="Data"/>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06B17-D787-42D3-8D01-EBA4E9BFF359}">
  <sheetPr codeName="Sheet12">
    <tabColor rgb="FFFFC000"/>
    <pageSetUpPr fitToPage="1"/>
  </sheetPr>
  <dimension ref="A1:N31"/>
  <sheetViews>
    <sheetView tabSelected="1" zoomScale="70" zoomScaleNormal="70" workbookViewId="0">
      <selection activeCell="C9" sqref="C9"/>
    </sheetView>
  </sheetViews>
  <sheetFormatPr defaultColWidth="0" defaultRowHeight="14.25" zeroHeight="1" x14ac:dyDescent="0.2"/>
  <cols>
    <col min="1" max="1" width="3" style="79" customWidth="1"/>
    <col min="2" max="2" width="72.42578125" style="79" customWidth="1"/>
    <col min="3" max="3" width="22" style="79" customWidth="1"/>
    <col min="4" max="4" width="8.140625" style="79" customWidth="1"/>
    <col min="5" max="5" width="58.42578125" style="79" customWidth="1"/>
    <col min="6" max="6" width="21.5703125" style="79" customWidth="1"/>
    <col min="7" max="7" width="6.28515625" style="79" customWidth="1"/>
    <col min="8" max="8" width="3.5703125" style="79" customWidth="1"/>
    <col min="9" max="9" width="57.28515625" style="79" customWidth="1"/>
    <col min="10" max="10" width="22.85546875" style="79" customWidth="1"/>
    <col min="11" max="11" width="6.28515625" style="79" customWidth="1"/>
    <col min="12" max="14" width="0" style="79" hidden="1" customWidth="1"/>
    <col min="15" max="16384" width="10.42578125" style="79" hidden="1"/>
  </cols>
  <sheetData>
    <row r="1" spans="1:11" ht="13.35" customHeight="1" x14ac:dyDescent="0.2">
      <c r="A1" s="126"/>
      <c r="B1" s="128"/>
      <c r="C1" s="127"/>
      <c r="D1" s="126"/>
      <c r="E1" s="126"/>
      <c r="F1" s="126"/>
      <c r="G1" s="126"/>
      <c r="H1" s="126"/>
      <c r="I1" s="126"/>
      <c r="J1" s="126"/>
      <c r="K1" s="126"/>
    </row>
    <row r="2" spans="1:11" ht="81" customHeight="1" x14ac:dyDescent="0.2">
      <c r="A2" s="126"/>
      <c r="B2" s="150" t="s">
        <v>195</v>
      </c>
      <c r="C2" s="150"/>
      <c r="D2" s="150"/>
      <c r="E2" s="150"/>
      <c r="F2" s="150"/>
      <c r="G2" s="150"/>
      <c r="H2" s="126"/>
      <c r="I2" s="126"/>
      <c r="J2" s="126"/>
      <c r="K2" s="126"/>
    </row>
    <row r="3" spans="1:11" ht="8.65" customHeight="1" x14ac:dyDescent="0.2">
      <c r="A3" s="90"/>
      <c r="B3" s="125"/>
      <c r="C3" s="125"/>
      <c r="D3" s="90"/>
      <c r="E3" s="90"/>
      <c r="F3" s="90"/>
      <c r="G3" s="90"/>
      <c r="H3" s="89"/>
      <c r="I3" s="89"/>
      <c r="J3" s="89"/>
      <c r="K3" s="89"/>
    </row>
    <row r="4" spans="1:11" ht="202.7" customHeight="1" x14ac:dyDescent="0.2">
      <c r="A4" s="90"/>
      <c r="B4" s="149" t="s">
        <v>189</v>
      </c>
      <c r="C4" s="149"/>
      <c r="D4" s="149"/>
      <c r="E4" s="149"/>
      <c r="F4" s="149"/>
      <c r="G4" s="90"/>
      <c r="H4" s="89"/>
      <c r="I4" s="89"/>
      <c r="J4" s="89"/>
      <c r="K4" s="89"/>
    </row>
    <row r="5" spans="1:11" s="120" customFormat="1" ht="31.35" customHeight="1" x14ac:dyDescent="0.25">
      <c r="A5" s="122"/>
      <c r="B5" s="124" t="s">
        <v>169</v>
      </c>
      <c r="C5" s="123"/>
      <c r="D5" s="122"/>
      <c r="E5" s="152" t="s">
        <v>153</v>
      </c>
      <c r="F5" s="152"/>
      <c r="G5" s="122"/>
      <c r="H5" s="121"/>
      <c r="I5" s="138" t="s">
        <v>152</v>
      </c>
      <c r="J5" s="138"/>
      <c r="K5" s="121"/>
    </row>
    <row r="6" spans="1:11" ht="32.1" customHeight="1" x14ac:dyDescent="0.2">
      <c r="A6" s="90"/>
      <c r="B6" s="148" t="s">
        <v>151</v>
      </c>
      <c r="C6" s="148"/>
      <c r="D6" s="90"/>
      <c r="E6" s="139" t="s">
        <v>150</v>
      </c>
      <c r="F6" s="139"/>
      <c r="G6" s="115"/>
      <c r="H6" s="114"/>
      <c r="I6" s="119" t="s">
        <v>149</v>
      </c>
      <c r="J6" s="89"/>
      <c r="K6" s="89"/>
    </row>
    <row r="7" spans="1:11" ht="125.1" customHeight="1" x14ac:dyDescent="0.2">
      <c r="A7" s="90"/>
      <c r="B7" s="118"/>
      <c r="C7" s="118"/>
      <c r="D7" s="90"/>
      <c r="E7" s="142" t="s">
        <v>190</v>
      </c>
      <c r="F7" s="142"/>
      <c r="G7" s="90"/>
      <c r="H7" s="89"/>
      <c r="I7" s="141" t="s">
        <v>148</v>
      </c>
      <c r="J7" s="141"/>
      <c r="K7" s="89"/>
    </row>
    <row r="8" spans="1:11" s="113" customFormat="1" ht="48.95" customHeight="1" x14ac:dyDescent="0.25">
      <c r="A8" s="115"/>
      <c r="B8" s="118"/>
      <c r="C8" s="118"/>
      <c r="D8" s="115"/>
      <c r="E8" s="143" t="s">
        <v>147</v>
      </c>
      <c r="F8" s="143"/>
      <c r="G8" s="115"/>
      <c r="H8" s="114"/>
      <c r="I8" s="144" t="s">
        <v>146</v>
      </c>
      <c r="J8" s="144"/>
      <c r="K8" s="114"/>
    </row>
    <row r="9" spans="1:11" ht="35.1" customHeight="1" x14ac:dyDescent="0.2">
      <c r="A9" s="115"/>
      <c r="B9" s="117" t="s">
        <v>145</v>
      </c>
      <c r="C9" s="116"/>
      <c r="D9" s="115"/>
      <c r="E9" s="146" t="s">
        <v>74</v>
      </c>
      <c r="F9" s="146"/>
      <c r="G9" s="90"/>
      <c r="H9" s="114"/>
      <c r="I9" s="108" t="s">
        <v>144</v>
      </c>
      <c r="J9" s="107"/>
      <c r="K9" s="89"/>
    </row>
    <row r="10" spans="1:11" ht="39" customHeight="1" x14ac:dyDescent="0.2">
      <c r="A10" s="90"/>
      <c r="B10" s="106" t="s">
        <v>170</v>
      </c>
      <c r="C10" s="112"/>
      <c r="D10" s="90"/>
      <c r="E10" s="145" t="str">
        <f>Calculations!C19</f>
        <v>5% x Salary x Future Service to age 65</v>
      </c>
      <c r="F10" s="145"/>
      <c r="G10" s="90"/>
      <c r="H10" s="89"/>
      <c r="I10" s="108" t="s">
        <v>143</v>
      </c>
      <c r="J10" s="107"/>
      <c r="K10" s="89"/>
    </row>
    <row r="11" spans="1:11" ht="32.1" customHeight="1" x14ac:dyDescent="0.2">
      <c r="A11" s="90"/>
      <c r="B11" s="106" t="s">
        <v>173</v>
      </c>
      <c r="C11" s="99"/>
      <c r="D11" s="90"/>
      <c r="E11" s="104" t="s">
        <v>89</v>
      </c>
      <c r="F11" s="134">
        <f ca="1">Calculations!C56</f>
        <v>0</v>
      </c>
      <c r="G11" s="90" t="str">
        <f ca="1">IF(E13&lt;&gt;"","^","")</f>
        <v>^</v>
      </c>
      <c r="H11" s="89"/>
      <c r="I11" s="97" t="s">
        <v>142</v>
      </c>
      <c r="J11" s="133">
        <f ca="1">Calculations!C62</f>
        <v>0</v>
      </c>
      <c r="K11" s="89" t="str">
        <f ca="1">IF(Calculations!$C$70,"§","")</f>
        <v>§</v>
      </c>
    </row>
    <row r="12" spans="1:11" ht="33.950000000000003" customHeight="1" x14ac:dyDescent="0.2">
      <c r="A12" s="90"/>
      <c r="B12" s="130" t="s">
        <v>43</v>
      </c>
      <c r="C12" s="99"/>
      <c r="D12" s="90"/>
      <c r="E12" s="104" t="s">
        <v>87</v>
      </c>
      <c r="F12" s="133">
        <f ca="1">Calculations!C57</f>
        <v>0</v>
      </c>
      <c r="G12" s="90"/>
      <c r="H12" s="89"/>
      <c r="I12" s="97" t="s">
        <v>141</v>
      </c>
      <c r="J12" s="133">
        <f ca="1">Calculations!D62</f>
        <v>0</v>
      </c>
      <c r="K12" s="89" t="str">
        <f ca="1">IF(Calculations!$D$70,"§","")</f>
        <v>§</v>
      </c>
    </row>
    <row r="13" spans="1:11" ht="50.1" customHeight="1" x14ac:dyDescent="0.2">
      <c r="A13" s="90"/>
      <c r="B13" s="102"/>
      <c r="C13" s="111"/>
      <c r="D13" s="90"/>
      <c r="E13" s="92" t="str">
        <f ca="1">Calculations!$C$58</f>
        <v>^ Basic Death cover ends at age 65.</v>
      </c>
      <c r="F13" s="100"/>
      <c r="G13" s="90"/>
      <c r="H13" s="89"/>
      <c r="I13" s="96" t="str">
        <f ca="1">IF(OR(Calculations!C70:D70),"§ Death cover is available from age 15 up to age 70. 
TPD cover is available from age 15 up to age 65.","")</f>
        <v>§ Death cover is available from age 15 up to age 70. 
TPD cover is available from age 15 up to age 65.</v>
      </c>
      <c r="J13" s="89"/>
      <c r="K13" s="89"/>
    </row>
    <row r="14" spans="1:11" ht="20.100000000000001" customHeight="1" x14ac:dyDescent="0.25">
      <c r="A14" s="90"/>
      <c r="B14" s="110" t="s">
        <v>76</v>
      </c>
      <c r="C14" s="105"/>
      <c r="D14" s="90"/>
      <c r="E14" s="93"/>
      <c r="F14" s="93"/>
      <c r="G14" s="90"/>
      <c r="H14" s="89"/>
      <c r="I14" s="89"/>
      <c r="J14" s="89"/>
      <c r="K14" s="89"/>
    </row>
    <row r="15" spans="1:11" ht="26.1" customHeight="1" x14ac:dyDescent="0.2">
      <c r="A15" s="90"/>
      <c r="B15" s="106" t="s">
        <v>140</v>
      </c>
      <c r="C15" s="109" t="str">
        <f>Calculations!C15</f>
        <v>Professional</v>
      </c>
      <c r="D15" s="90"/>
      <c r="E15" s="104" t="s">
        <v>90</v>
      </c>
      <c r="F15" s="134">
        <f ca="1">Calculations!D56</f>
        <v>0</v>
      </c>
      <c r="G15" s="90" t="str">
        <f ca="1">IF(E17&lt;&gt;"","†","")</f>
        <v>†</v>
      </c>
      <c r="H15" s="89"/>
      <c r="I15" s="108" t="s">
        <v>166</v>
      </c>
      <c r="J15" s="107"/>
      <c r="K15" s="89"/>
    </row>
    <row r="16" spans="1:11" ht="38.1" customHeight="1" x14ac:dyDescent="0.2">
      <c r="A16" s="90"/>
      <c r="B16" s="106" t="s">
        <v>139</v>
      </c>
      <c r="C16" s="105"/>
      <c r="D16" s="90"/>
      <c r="E16" s="104" t="s">
        <v>87</v>
      </c>
      <c r="F16" s="133">
        <f ca="1">Calculations!D57</f>
        <v>0</v>
      </c>
      <c r="G16" s="90"/>
      <c r="H16" s="89"/>
      <c r="I16" s="97" t="s">
        <v>138</v>
      </c>
      <c r="J16" s="103"/>
      <c r="K16" s="89"/>
    </row>
    <row r="17" spans="1:11" ht="50.1" customHeight="1" x14ac:dyDescent="0.2">
      <c r="A17" s="90"/>
      <c r="B17" s="102" t="s">
        <v>137</v>
      </c>
      <c r="C17" s="101" t="str">
        <f>Calculations!C16</f>
        <v>Professional</v>
      </c>
      <c r="D17" s="90"/>
      <c r="E17" s="92" t="str">
        <f ca="1">Calculations!$D$58</f>
        <v>† Basic TPD cover ends at age 65.</v>
      </c>
      <c r="F17" s="100"/>
      <c r="G17" s="90"/>
      <c r="H17" s="89"/>
      <c r="I17" s="97" t="s">
        <v>136</v>
      </c>
      <c r="J17" s="99"/>
      <c r="K17" s="89"/>
    </row>
    <row r="18" spans="1:11" ht="39" customHeight="1" x14ac:dyDescent="0.2">
      <c r="A18" s="90"/>
      <c r="B18" s="90"/>
      <c r="C18" s="90"/>
      <c r="D18" s="90"/>
      <c r="E18" s="98" t="s">
        <v>165</v>
      </c>
      <c r="F18" s="90"/>
      <c r="G18" s="90"/>
      <c r="H18" s="89"/>
      <c r="I18" s="97" t="s">
        <v>164</v>
      </c>
      <c r="J18" s="133">
        <f ca="1">Calculations!E62</f>
        <v>0</v>
      </c>
      <c r="K18" s="89" t="str">
        <f ca="1">IF(Calculations!$E$70,"#","")</f>
        <v>#</v>
      </c>
    </row>
    <row r="19" spans="1:11" ht="46.7" customHeight="1" x14ac:dyDescent="0.2">
      <c r="A19" s="90"/>
      <c r="B19" s="147" t="s">
        <v>193</v>
      </c>
      <c r="C19" s="147"/>
      <c r="D19" s="90"/>
      <c r="E19" s="142" t="s">
        <v>167</v>
      </c>
      <c r="F19" s="142"/>
      <c r="G19" s="90"/>
      <c r="H19" s="89"/>
      <c r="I19" s="96" t="str">
        <f ca="1">IF(OR(Calculations!E70),"# Income Protection is available from age 15. Cover ends at age 70 if your benefit payment period is up to 2 years. Cover ends at age 65 if your benefit payment period is up to 5 years or up to age 65.","")</f>
        <v># Income Protection is available from age 15. Cover ends at age 70 if your benefit payment period is up to 2 years. Cover ends at age 65 if your benefit payment period is up to 5 years or up to age 65.</v>
      </c>
      <c r="J19" s="89"/>
      <c r="K19" s="89"/>
    </row>
    <row r="20" spans="1:11" ht="35.1" customHeight="1" x14ac:dyDescent="0.2">
      <c r="A20" s="90"/>
      <c r="B20" s="147" t="s">
        <v>171</v>
      </c>
      <c r="C20" s="147"/>
      <c r="D20" s="90"/>
      <c r="E20" s="95" t="str">
        <f>Calculations!E19</f>
        <v>No basic cover</v>
      </c>
      <c r="F20" s="90"/>
      <c r="G20" s="90"/>
      <c r="H20" s="89"/>
      <c r="I20" s="141" t="s">
        <v>135</v>
      </c>
      <c r="J20" s="141"/>
      <c r="K20" s="89"/>
    </row>
    <row r="21" spans="1:11" ht="38.1" customHeight="1" x14ac:dyDescent="0.2">
      <c r="A21" s="90"/>
      <c r="B21" s="90"/>
      <c r="C21" s="90"/>
      <c r="D21" s="90"/>
      <c r="E21" s="94" t="str">
        <f>IF(E20="No basic cover","","You have a waiting period of "&amp;Calculations!E26&amp;" days, and the monthly benefit payment period is up to "&amp;IF(Calculations!E25=65,"age 65.",Calculations!E25&amp;" years."))</f>
        <v/>
      </c>
      <c r="F21" s="90"/>
      <c r="G21" s="90"/>
      <c r="H21" s="89"/>
      <c r="I21" s="89"/>
      <c r="J21" s="89"/>
      <c r="K21" s="89"/>
    </row>
    <row r="22" spans="1:11" x14ac:dyDescent="0.2">
      <c r="A22" s="90"/>
      <c r="B22" s="90"/>
      <c r="C22" s="90"/>
      <c r="D22" s="90"/>
      <c r="E22" s="90"/>
      <c r="F22" s="90"/>
      <c r="G22" s="90"/>
      <c r="H22" s="89"/>
      <c r="I22" s="89"/>
      <c r="J22" s="89"/>
      <c r="K22" s="89"/>
    </row>
    <row r="23" spans="1:11" ht="18" x14ac:dyDescent="0.2">
      <c r="A23" s="90"/>
      <c r="B23" s="90" t="s">
        <v>134</v>
      </c>
      <c r="C23" s="90"/>
      <c r="D23" s="90"/>
      <c r="E23" s="93" t="s">
        <v>168</v>
      </c>
      <c r="F23" s="133" t="str">
        <f>Calculations!E56</f>
        <v>n/a</v>
      </c>
      <c r="G23" s="90" t="str">
        <f>IF(E25&lt;&gt;"","‡","")</f>
        <v/>
      </c>
      <c r="H23" s="89"/>
      <c r="I23" s="89"/>
      <c r="J23" s="89"/>
      <c r="K23" s="89"/>
    </row>
    <row r="24" spans="1:11" ht="24.95" customHeight="1" x14ac:dyDescent="0.2">
      <c r="A24" s="90"/>
      <c r="B24" s="90"/>
      <c r="C24" s="90"/>
      <c r="D24" s="90"/>
      <c r="E24" s="93" t="s">
        <v>87</v>
      </c>
      <c r="F24" s="133">
        <f>Calculations!E57</f>
        <v>0</v>
      </c>
      <c r="G24" s="90"/>
      <c r="H24" s="89"/>
      <c r="I24" s="89"/>
      <c r="J24" s="89"/>
      <c r="K24" s="89"/>
    </row>
    <row r="25" spans="1:11" ht="50.1" customHeight="1" x14ac:dyDescent="0.2">
      <c r="A25" s="90"/>
      <c r="B25" s="90"/>
      <c r="C25" s="90"/>
      <c r="D25" s="90"/>
      <c r="E25" s="92" t="str">
        <f>Calculations!$E$58</f>
        <v/>
      </c>
      <c r="F25" s="91"/>
      <c r="G25" s="90"/>
      <c r="H25" s="89"/>
      <c r="I25" s="89"/>
      <c r="J25" s="89"/>
      <c r="K25" s="89"/>
    </row>
    <row r="26" spans="1:11" ht="14.1" customHeight="1" x14ac:dyDescent="0.25">
      <c r="A26" s="83"/>
      <c r="B26" s="88"/>
      <c r="C26" s="83"/>
      <c r="D26" s="83"/>
      <c r="E26" s="87"/>
      <c r="F26" s="83"/>
      <c r="G26" s="83"/>
      <c r="H26" s="80"/>
      <c r="I26" s="80"/>
      <c r="J26" s="80"/>
      <c r="K26" s="80"/>
    </row>
    <row r="27" spans="1:11" ht="60.4" customHeight="1" x14ac:dyDescent="0.2">
      <c r="A27" s="83"/>
      <c r="B27" s="151" t="s">
        <v>192</v>
      </c>
      <c r="C27" s="151"/>
      <c r="D27" s="151"/>
      <c r="E27" s="151"/>
      <c r="F27" s="151"/>
      <c r="G27" s="83"/>
      <c r="H27" s="80"/>
      <c r="I27" s="86" t="s">
        <v>133</v>
      </c>
      <c r="J27" s="80"/>
      <c r="K27" s="80"/>
    </row>
    <row r="28" spans="1:11" ht="35.1" customHeight="1" x14ac:dyDescent="0.2">
      <c r="A28" s="83"/>
      <c r="B28" s="151"/>
      <c r="C28" s="151"/>
      <c r="D28" s="151"/>
      <c r="E28" s="151"/>
      <c r="F28" s="151"/>
      <c r="G28" s="83"/>
      <c r="H28" s="80"/>
      <c r="I28" s="85" t="s">
        <v>163</v>
      </c>
      <c r="J28" s="84"/>
      <c r="K28" s="80"/>
    </row>
    <row r="29" spans="1:11" ht="36" customHeight="1" x14ac:dyDescent="0.2">
      <c r="A29" s="83"/>
      <c r="B29" s="151"/>
      <c r="C29" s="151"/>
      <c r="D29" s="151"/>
      <c r="E29" s="151"/>
      <c r="F29" s="151"/>
      <c r="G29" s="83"/>
      <c r="H29" s="80"/>
      <c r="I29" s="140" t="s">
        <v>132</v>
      </c>
      <c r="J29" s="140"/>
      <c r="K29" s="80"/>
    </row>
    <row r="30" spans="1:11" ht="36.950000000000003" customHeight="1" x14ac:dyDescent="0.2">
      <c r="A30" s="83"/>
      <c r="B30" s="151"/>
      <c r="C30" s="151"/>
      <c r="D30" s="151"/>
      <c r="E30" s="151"/>
      <c r="F30" s="151"/>
      <c r="G30" s="83"/>
      <c r="H30" s="80"/>
      <c r="I30" s="140" t="s">
        <v>191</v>
      </c>
      <c r="J30" s="140"/>
      <c r="K30" s="80"/>
    </row>
    <row r="31" spans="1:11" ht="159" customHeight="1" x14ac:dyDescent="0.2">
      <c r="A31" s="83"/>
      <c r="B31" s="151"/>
      <c r="C31" s="151"/>
      <c r="D31" s="151"/>
      <c r="E31" s="151"/>
      <c r="F31" s="151"/>
      <c r="G31" s="83"/>
      <c r="H31" s="80"/>
      <c r="I31" s="82"/>
      <c r="J31" s="81"/>
      <c r="K31" s="80"/>
    </row>
  </sheetData>
  <sheetProtection algorithmName="SHA-512" hashValue="j2cxwA5rsx/zoNMQUTGqeImGfiTFLzOkDEHBR54kOs2qj+GN3wXkZBCieTXml5TVareQnIbApP+QHuy/cMjuqA==" saltValue="DSt0mCmc6YJX4svgxPWsXA==" spinCount="100000" sheet="1" objects="1" scenarios="1" selectLockedCells="1"/>
  <mergeCells count="19">
    <mergeCell ref="B20:C20"/>
    <mergeCell ref="B6:C6"/>
    <mergeCell ref="B4:F4"/>
    <mergeCell ref="B2:G2"/>
    <mergeCell ref="B27:F31"/>
    <mergeCell ref="B19:C19"/>
    <mergeCell ref="E5:F5"/>
    <mergeCell ref="I5:J5"/>
    <mergeCell ref="E6:F6"/>
    <mergeCell ref="I29:J29"/>
    <mergeCell ref="I30:J30"/>
    <mergeCell ref="I7:J7"/>
    <mergeCell ref="E7:F7"/>
    <mergeCell ref="E8:F8"/>
    <mergeCell ref="I8:J8"/>
    <mergeCell ref="I20:J20"/>
    <mergeCell ref="E19:F19"/>
    <mergeCell ref="E10:F10"/>
    <mergeCell ref="E9:F9"/>
  </mergeCells>
  <dataValidations count="6">
    <dataValidation type="custom" allowBlank="1" showInputMessage="1" showErrorMessage="1" errorTitle="TPD Cover" error="Please input a multiple of $1,000._x000a__x000a_Maximum TPD Cover is $3,000,000." sqref="J10" xr:uid="{361D6D72-AEF1-4E52-A430-9CC62FB100BD}">
      <formula1>AND(MOD(J10,1000)=0,J10&lt;=3000000)</formula1>
    </dataValidation>
    <dataValidation type="custom" allowBlank="1" showInputMessage="1" showErrorMessage="1" errorTitle="IP Cover" error="Please input a multiple of $100._x000a__x000a_Maximum IP Cover is $30,000." sqref="J15" xr:uid="{1D12B361-4773-49BB-A78A-CB1D11545E65}">
      <formula1>AND(MOD(J15,100)=0,J15&lt;=30000)</formula1>
    </dataValidation>
    <dataValidation type="custom" allowBlank="1" showInputMessage="1" showErrorMessage="1" errorTitle="Death Cover" error="Please input a multiple of $1,000." sqref="J9" xr:uid="{4C7B15E3-4B54-40AF-99A8-0E4B42E39016}">
      <formula1>MOD(J9,1000)=0</formula1>
    </dataValidation>
    <dataValidation type="list" allowBlank="1" showInputMessage="1" showErrorMessage="1" sqref="C11" xr:uid="{D95A60FB-44BD-4E9D-833F-2C4C46F553BB}">
      <formula1>"Blue Collar,White Collar,Professional"</formula1>
    </dataValidation>
    <dataValidation type="list" allowBlank="1" showInputMessage="1" showErrorMessage="1" sqref="J16" xr:uid="{F50077F0-8D97-4BD5-B293-883F60EF6F7D}">
      <formula1>"2 years, 5 years, Up to age 65"</formula1>
    </dataValidation>
    <dataValidation type="list" allowBlank="1" showInputMessage="1" showErrorMessage="1" sqref="C12" xr:uid="{C1290B54-36C5-4E65-AF3F-7BD8FB2471A2}">
      <formula1>"Male,Female"</formula1>
    </dataValidation>
  </dataValidation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3B5B9B3-12D6-4B73-9611-3D0F7582AE58}">
          <x14:formula1>
            <xm:f>OFFSET(Staging!$J$3,0,0,Staging!$K$2)</xm:f>
          </x14:formula1>
          <xm:sqref>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D0B0E-86BC-45E8-92B5-151A446EC276}">
  <sheetPr codeName="Sheet1">
    <tabColor rgb="FF00B0F0"/>
  </sheetPr>
  <dimension ref="B2:N79"/>
  <sheetViews>
    <sheetView zoomScaleNormal="100" workbookViewId="0"/>
  </sheetViews>
  <sheetFormatPr defaultRowHeight="15" x14ac:dyDescent="0.25"/>
  <cols>
    <col min="1" max="1" width="5.5703125" customWidth="1"/>
    <col min="2" max="2" width="25.5703125" customWidth="1"/>
    <col min="3" max="5" width="15.5703125" customWidth="1"/>
    <col min="6" max="6" width="5.5703125" customWidth="1"/>
    <col min="7" max="7" width="12.5703125" customWidth="1"/>
    <col min="8" max="8" width="22.5703125" customWidth="1"/>
    <col min="11" max="11" width="20.7109375" bestFit="1" customWidth="1"/>
    <col min="12" max="12" width="8.42578125" bestFit="1" customWidth="1"/>
    <col min="13" max="13" width="8" bestFit="1" customWidth="1"/>
    <col min="14" max="14" width="11.140625" bestFit="1" customWidth="1"/>
  </cols>
  <sheetData>
    <row r="2" spans="2:14" x14ac:dyDescent="0.25">
      <c r="B2" s="22" t="s">
        <v>44</v>
      </c>
      <c r="C2" s="36" t="str">
        <f>Staging!C2</f>
        <v>Atlassian</v>
      </c>
      <c r="K2" s="153" t="s">
        <v>65</v>
      </c>
      <c r="L2" s="153"/>
      <c r="M2" s="153"/>
      <c r="N2" s="153"/>
    </row>
    <row r="3" spans="2:14" x14ac:dyDescent="0.25">
      <c r="B3" s="22" t="s">
        <v>77</v>
      </c>
      <c r="C3" s="52">
        <f>IF(Summary!$C$8="",1,Summary!$C$8)</f>
        <v>1</v>
      </c>
      <c r="D3" s="2">
        <f>IF(Staging!$C$3=1,1,MATCH(C4,Staging!$C$7:$G$7,0))</f>
        <v>1</v>
      </c>
      <c r="K3" s="35"/>
      <c r="L3" s="35" t="s">
        <v>158</v>
      </c>
      <c r="M3" s="35" t="s">
        <v>159</v>
      </c>
      <c r="N3" s="35" t="s">
        <v>83</v>
      </c>
    </row>
    <row r="4" spans="2:14" ht="120" x14ac:dyDescent="0.25">
      <c r="B4" s="22" t="s">
        <v>91</v>
      </c>
      <c r="C4" s="78" t="str" cm="1">
        <f t="array" ref="C4">INDEX(Staging!$C$7:$G$7,Calculations!C3)</f>
        <v>Permanent employees and fixed-term contractors engaged on contracts of twelve months or more</v>
      </c>
      <c r="D4" s="132" t="str" cm="1">
        <f t="array" ref="D4">INDEX(Staging!$C$7:$G$7,Calculations!C3)</f>
        <v>Permanent employees and fixed-term contractors engaged on contracts of twelve months or more</v>
      </c>
      <c r="K4" s="27" t="s">
        <v>29</v>
      </c>
      <c r="L4" s="28">
        <v>1</v>
      </c>
      <c r="M4" s="28">
        <v>0.5</v>
      </c>
      <c r="N4" s="28">
        <v>0.45</v>
      </c>
    </row>
    <row r="5" spans="2:14" x14ac:dyDescent="0.25">
      <c r="K5" s="27" t="s">
        <v>8</v>
      </c>
      <c r="L5" s="28">
        <v>1</v>
      </c>
      <c r="M5" s="28">
        <v>0.5</v>
      </c>
      <c r="N5" s="28">
        <v>0.45</v>
      </c>
    </row>
    <row r="6" spans="2:14" x14ac:dyDescent="0.25">
      <c r="K6" s="27" t="s">
        <v>100</v>
      </c>
      <c r="L6" s="28">
        <v>1</v>
      </c>
      <c r="M6" s="28">
        <v>0.5</v>
      </c>
      <c r="N6" s="28">
        <v>0.45</v>
      </c>
    </row>
    <row r="7" spans="2:14" x14ac:dyDescent="0.25">
      <c r="K7" s="27" t="s">
        <v>101</v>
      </c>
      <c r="L7" s="28">
        <v>1</v>
      </c>
      <c r="M7" s="28">
        <v>0.5</v>
      </c>
      <c r="N7" s="28">
        <v>0.45</v>
      </c>
    </row>
    <row r="8" spans="2:14" x14ac:dyDescent="0.25">
      <c r="B8" s="1" t="s">
        <v>93</v>
      </c>
      <c r="K8" s="29" t="s">
        <v>102</v>
      </c>
      <c r="L8" s="30">
        <v>1</v>
      </c>
      <c r="M8" s="30">
        <v>0.56000000000000005</v>
      </c>
      <c r="N8" s="30">
        <v>0.5</v>
      </c>
    </row>
    <row r="9" spans="2:14" x14ac:dyDescent="0.25">
      <c r="B9" s="22" t="s">
        <v>71</v>
      </c>
      <c r="C9" s="36">
        <f ca="1">TODAY()</f>
        <v>44768</v>
      </c>
    </row>
    <row r="10" spans="2:14" x14ac:dyDescent="0.25">
      <c r="B10" s="22" t="s">
        <v>23</v>
      </c>
      <c r="C10" s="36">
        <f>Summary!C9</f>
        <v>0</v>
      </c>
    </row>
    <row r="11" spans="2:14" x14ac:dyDescent="0.25">
      <c r="B11" s="22" t="s">
        <v>32</v>
      </c>
      <c r="C11" s="21">
        <f ca="1">IFERROR(DATEDIF(C10,C9,"Y"),0)</f>
        <v>122</v>
      </c>
    </row>
    <row r="12" spans="2:14" x14ac:dyDescent="0.25">
      <c r="B12" s="22" t="s">
        <v>43</v>
      </c>
      <c r="C12" s="37">
        <f>Summary!C12</f>
        <v>0</v>
      </c>
    </row>
    <row r="13" spans="2:14" x14ac:dyDescent="0.25">
      <c r="B13" s="22" t="s">
        <v>24</v>
      </c>
      <c r="C13" s="61">
        <f>Summary!C10</f>
        <v>0</v>
      </c>
    </row>
    <row r="14" spans="2:14" x14ac:dyDescent="0.25">
      <c r="B14" s="22" t="s">
        <v>73</v>
      </c>
      <c r="C14" s="24">
        <f>Summary!C11</f>
        <v>0</v>
      </c>
    </row>
    <row r="15" spans="2:14" x14ac:dyDescent="0.25">
      <c r="B15" s="22" t="s">
        <v>75</v>
      </c>
      <c r="C15" s="43" t="str">
        <f>HLOOKUP(C$3,Staging!$C$4:$G$61,MATCH(B15,Staging!$B$4:$B$61,FALSE),FALSE)</f>
        <v>Professional</v>
      </c>
    </row>
    <row r="16" spans="2:14" x14ac:dyDescent="0.25">
      <c r="B16" s="22" t="s">
        <v>96</v>
      </c>
      <c r="C16" s="41" t="str">
        <f>IF(ISNUMBER(MATCH("Professional",$C$14:$C$15,0)),"Professional",IF(ISNUMBER(MATCH("White Collar",$C$14:$C$15,0)),"White Collar","Blue Collar"))</f>
        <v>Professional</v>
      </c>
    </row>
    <row r="18" spans="2:12" x14ac:dyDescent="0.25">
      <c r="B18" s="1" t="s">
        <v>92</v>
      </c>
      <c r="C18" s="2" t="s">
        <v>34</v>
      </c>
      <c r="D18" s="2" t="s">
        <v>8</v>
      </c>
      <c r="E18" s="2" t="s">
        <v>30</v>
      </c>
    </row>
    <row r="19" spans="2:12" ht="45" x14ac:dyDescent="0.25">
      <c r="B19" s="22" t="s">
        <v>124</v>
      </c>
      <c r="C19" s="43" t="str">
        <f>HLOOKUP($C$3,Staging!$C$4:$G$61,MATCH("Death Design",Staging!$B$4:$B$61,FALSE),FALSE)</f>
        <v>5% x Salary x Future Service to age 65</v>
      </c>
      <c r="D19" s="43" t="str">
        <f>HLOOKUP($C$3,Staging!$C$4:$G$61,MATCH("TPD Design",Staging!$B$4:$B$61,FALSE),FALSE)</f>
        <v>5% x Salary x Future Service to age 65</v>
      </c>
      <c r="E19" s="43" t="str">
        <f>HLOOKUP($C$3,Staging!$C$4:$G$61,MATCH("Income Protection Design",Staging!$B$4:$B$61,FALSE),FALSE)</f>
        <v>No basic cover</v>
      </c>
      <c r="H19" s="33" t="s">
        <v>110</v>
      </c>
      <c r="I19" s="33"/>
      <c r="K19" s="76" t="s">
        <v>111</v>
      </c>
      <c r="L19" s="76"/>
    </row>
    <row r="20" spans="2:12" x14ac:dyDescent="0.25">
      <c r="B20" s="22" t="s">
        <v>123</v>
      </c>
      <c r="C20" s="44">
        <f>VLOOKUP(C21,$H$20:$I$25,2,FALSE)</f>
        <v>5</v>
      </c>
      <c r="D20" s="44">
        <f>VLOOKUP(D21,$H$20:$I$25,2,FALSE)</f>
        <v>5</v>
      </c>
      <c r="E20" s="44">
        <f>VLOOKUP(E21,$K$20:$L$24,2,FALSE)</f>
        <v>1</v>
      </c>
      <c r="H20" s="33" t="s">
        <v>118</v>
      </c>
      <c r="I20" s="33">
        <v>1</v>
      </c>
      <c r="K20" s="76" t="s">
        <v>118</v>
      </c>
      <c r="L20" s="76">
        <v>1</v>
      </c>
    </row>
    <row r="21" spans="2:12" x14ac:dyDescent="0.25">
      <c r="B21" s="22" t="s">
        <v>35</v>
      </c>
      <c r="C21" s="43" t="str">
        <f>HLOOKUP($C$3,Staging!$C$4:$G$61,MATCH(C$18&amp;"_"&amp;$B21,Staging!$B$4:$B$61,FALSE),FALSE)</f>
        <v>% x Sal x FYS</v>
      </c>
      <c r="D21" s="43" t="str">
        <f>HLOOKUP($C$3,Staging!$C$4:$G$61,MATCH(D$18&amp;"_"&amp;$B21,Staging!$B$4:$B$61,FALSE),FALSE)</f>
        <v>% x Sal x FYS</v>
      </c>
      <c r="E21" s="43" t="str">
        <f>HLOOKUP($C$3,Staging!$C$4:$G$61,MATCH(E$18&amp;"_"&amp;$B21,Staging!$B$4:$B$61,FALSE),FALSE)</f>
        <v>No basic cover</v>
      </c>
      <c r="H21" s="33" t="s">
        <v>103</v>
      </c>
      <c r="I21" s="33">
        <v>2</v>
      </c>
      <c r="K21" s="76" t="s">
        <v>103</v>
      </c>
      <c r="L21" s="76">
        <v>2</v>
      </c>
    </row>
    <row r="22" spans="2:12" x14ac:dyDescent="0.25">
      <c r="B22" s="22" t="s">
        <v>40</v>
      </c>
      <c r="C22" s="43">
        <f>HLOOKUP($C$3,Staging!$C$4:$G$61,MATCH(C$18&amp;"_"&amp;$B22,Staging!$B$4:$B$61,FALSE),FALSE)</f>
        <v>70</v>
      </c>
      <c r="D22" s="43">
        <f>HLOOKUP($C$3,Staging!$C$4:$G$61,MATCH(D$18&amp;"_"&amp;$B22,Staging!$B$4:$B$61,FALSE),FALSE)</f>
        <v>65</v>
      </c>
      <c r="E22" s="43">
        <f>HLOOKUP($C$3,Staging!$C$4:$G$61,MATCH(E$18&amp;"_"&amp;$B22,Staging!$B$4:$B$61,FALSE),FALSE)</f>
        <v>70</v>
      </c>
      <c r="H22" s="33" t="s">
        <v>107</v>
      </c>
      <c r="I22" s="33">
        <v>3</v>
      </c>
      <c r="K22" s="76" t="s">
        <v>107</v>
      </c>
      <c r="L22" s="76">
        <v>3</v>
      </c>
    </row>
    <row r="23" spans="2:12" x14ac:dyDescent="0.25">
      <c r="B23" s="22" t="s">
        <v>41</v>
      </c>
      <c r="C23" s="43">
        <f>HLOOKUP($C$3,Staging!$C$4:$G$61,MATCH(C$18&amp;"_"&amp;$B23,Staging!$B$4:$B$61,FALSE),FALSE)</f>
        <v>1500000</v>
      </c>
      <c r="D23" s="43">
        <f>HLOOKUP($C$3,Staging!$C$4:$G$61,MATCH(D$18&amp;"_"&amp;$B23,Staging!$B$4:$B$61,FALSE),FALSE)</f>
        <v>1500000</v>
      </c>
      <c r="E23" s="43" t="str">
        <f>HLOOKUP($C$3,Staging!$C$4:$G$61,MATCH(E$18&amp;"_"&amp;$B23,Staging!$B$4:$B$61,FALSE),FALSE)</f>
        <v>n/a</v>
      </c>
      <c r="H23" s="33" t="s">
        <v>108</v>
      </c>
      <c r="I23" s="33">
        <v>4</v>
      </c>
      <c r="K23" s="76" t="s">
        <v>108</v>
      </c>
      <c r="L23" s="76">
        <v>4</v>
      </c>
    </row>
    <row r="24" spans="2:12" x14ac:dyDescent="0.25">
      <c r="B24" s="22" t="s">
        <v>42</v>
      </c>
      <c r="C24" s="43">
        <f>HLOOKUP($C$3,Staging!$C$4:$G$61,MATCH(C$18&amp;"_"&amp;$B24,Staging!$B$4:$B$61,FALSE),FALSE)</f>
        <v>999999999</v>
      </c>
      <c r="D24" s="43">
        <f>HLOOKUP($C$3,Staging!$C$4:$G$61,MATCH(D$18&amp;"_"&amp;$B24,Staging!$B$4:$B$61,FALSE),FALSE)</f>
        <v>3000000</v>
      </c>
      <c r="E24" s="43">
        <f>HLOOKUP($C$3,Staging!$C$4:$G$61,MATCH(E$18&amp;"_"&amp;$B24,Staging!$B$4:$B$61,FALSE),FALSE)</f>
        <v>30000</v>
      </c>
      <c r="H24" s="33" t="s">
        <v>33</v>
      </c>
      <c r="I24" s="33">
        <v>5</v>
      </c>
      <c r="K24" s="76" t="s">
        <v>109</v>
      </c>
      <c r="L24" s="76">
        <v>5</v>
      </c>
    </row>
    <row r="25" spans="2:12" x14ac:dyDescent="0.25">
      <c r="D25" s="62" t="s">
        <v>59</v>
      </c>
      <c r="E25" s="43">
        <f>HLOOKUP(C$3,Staging!$C$4:$G$61,MATCH(D25,Staging!$B$4:$B$61,FALSE),FALSE)</f>
        <v>0</v>
      </c>
      <c r="H25" s="33" t="s">
        <v>66</v>
      </c>
      <c r="I25" s="33">
        <v>6</v>
      </c>
    </row>
    <row r="26" spans="2:12" x14ac:dyDescent="0.25">
      <c r="D26" s="62" t="s">
        <v>60</v>
      </c>
      <c r="E26" s="43">
        <f>HLOOKUP(C$3,Staging!$C$4:$G$61,MATCH(D26,Staging!$B$4:$B$61,FALSE),FALSE)</f>
        <v>0</v>
      </c>
    </row>
    <row r="28" spans="2:12" x14ac:dyDescent="0.25">
      <c r="B28" s="1" t="s">
        <v>128</v>
      </c>
      <c r="C28" s="2" t="s">
        <v>34</v>
      </c>
      <c r="D28" s="2" t="s">
        <v>8</v>
      </c>
      <c r="E28" s="2" t="s">
        <v>30</v>
      </c>
    </row>
    <row r="29" spans="2:12" x14ac:dyDescent="0.25">
      <c r="B29" s="1" t="s">
        <v>130</v>
      </c>
      <c r="C29" s="65">
        <f ca="1">IF(OR($C$11&gt;=C22,C11&lt;15),0,IF(C20=1,0,IF(C20=2,C30,IF(C20=3,C31,IF(C20=4,C31*C32,IF(C20=5,C33*$C$13*C36,IF(C20=6,C37*$C$13,NA())))))))</f>
        <v>0</v>
      </c>
      <c r="D29" s="65">
        <f ca="1">IF(OR($C$11&gt;=D22,C11&lt;15),0,IF(D20=1,0,IF(D20=2,D30,IF(D20=3,D31,IF(D20=4,D31*D32,IF(D20=5,D33*$C$13*D36,IF(D20=6,D37*$C$13,NA())))))))</f>
        <v>0</v>
      </c>
      <c r="E29" s="65">
        <f ca="1">IF(OR($C$11&gt;=E68,C11&lt;15,AND($C$11&gt;65,E25&gt;2)),0,IF(E20=1,0,IF(E20=2,E30,IF(E20=3,E31,IF(E20=4,E31*E32,IF(E20=5,E33*$C$13/12,NA()))))))</f>
        <v>0</v>
      </c>
    </row>
    <row r="30" spans="2:12" x14ac:dyDescent="0.25">
      <c r="B30" s="1" t="s">
        <v>103</v>
      </c>
      <c r="C30" s="43">
        <f>HLOOKUP($C$3,Staging!$C$4:$G$61,MATCH(C$18&amp;"_"&amp;$B30,Staging!$B$4:$B$61,FALSE),FALSE)</f>
        <v>0</v>
      </c>
      <c r="D30" s="43" t="str">
        <f>HLOOKUP($C$3,Staging!$C$4:$G$61,MATCH(D$18&amp;"_"&amp;$B30,Staging!$B$4:$B$61,FALSE),FALSE)</f>
        <v/>
      </c>
      <c r="E30" s="43">
        <f>HLOOKUP($C$3,Staging!$C$4:$G$61,MATCH(E$18&amp;"_"&amp;$B30,Staging!$B$4:$B$61,FALSE),FALSE)</f>
        <v>0</v>
      </c>
    </row>
    <row r="31" spans="2:12" x14ac:dyDescent="0.25">
      <c r="B31" s="1" t="s">
        <v>125</v>
      </c>
      <c r="C31" s="41" t="str">
        <f>IF(C19="Age Based Scale",VLOOKUP($C$11,#REF!,2,FALSE),"")</f>
        <v/>
      </c>
      <c r="D31" s="41" t="str">
        <f>IF(D19="Age Based Scale",VLOOKUP($C$11,#REF!,2,FALSE),"")</f>
        <v/>
      </c>
      <c r="E31" s="41" t="str">
        <f>IF(E19="Age Based Scale",VLOOKUP($C$11,#REF!,2,FALSE),"")</f>
        <v/>
      </c>
    </row>
    <row r="32" spans="2:12" x14ac:dyDescent="0.25">
      <c r="B32" s="1" t="s">
        <v>127</v>
      </c>
      <c r="C32" s="43">
        <f>HLOOKUP($C$3,Staging!$C$4:$G$61,MATCH(C$18&amp;"_"&amp;$B32,Staging!$B$4:$B$61,FALSE),FALSE)</f>
        <v>0</v>
      </c>
      <c r="D32" s="43" t="str">
        <f>HLOOKUP($C$3,Staging!$C$4:$G$61,MATCH(D$18&amp;"_"&amp;$B32,Staging!$B$4:$B$61,FALSE),FALSE)</f>
        <v/>
      </c>
      <c r="E32" s="43">
        <f>HLOOKUP($C$3,Staging!$C$4:$G$61,MATCH(E$18&amp;"_"&amp;$B32,Staging!$B$4:$B$61,FALSE),FALSE)</f>
        <v>0</v>
      </c>
    </row>
    <row r="33" spans="2:8" x14ac:dyDescent="0.25">
      <c r="B33" s="63" t="s">
        <v>38</v>
      </c>
      <c r="C33" s="43">
        <f>HLOOKUP($C$3,Staging!$C$4:$G$61,MATCH(C$18&amp;"_"&amp;$B33,Staging!$B$4:$B$61,FALSE),FALSE)</f>
        <v>0.05</v>
      </c>
      <c r="D33" s="43">
        <f>HLOOKUP($C$3,Staging!$C$4:$G$61,MATCH(D$18&amp;"_"&amp;$B33,Staging!$B$4:$B$61,FALSE),FALSE)</f>
        <v>0.05</v>
      </c>
      <c r="E33" s="43">
        <f>HLOOKUP($C$3,Staging!$C$4:$G$61,MATCH(E$18&amp;"_"&amp;$B33,Staging!$B$4:$B$61,FALSE),FALSE)</f>
        <v>0</v>
      </c>
    </row>
    <row r="34" spans="2:8" x14ac:dyDescent="0.25">
      <c r="B34" s="1" t="s">
        <v>39</v>
      </c>
      <c r="C34" s="43">
        <f>HLOOKUP($C$3,Staging!$C$4:$G$61,MATCH(C$18&amp;"_"&amp;$B34,Staging!$B$4:$B$61,FALSE),FALSE)</f>
        <v>65</v>
      </c>
      <c r="D34" s="43">
        <f>HLOOKUP($C$3,Staging!$C$4:$G$61,MATCH(D$18&amp;"_"&amp;$B34,Staging!$B$4:$B$61,FALSE),FALSE)</f>
        <v>65</v>
      </c>
    </row>
    <row r="35" spans="2:8" x14ac:dyDescent="0.25">
      <c r="B35" t="s">
        <v>94</v>
      </c>
      <c r="C35" s="64">
        <f>DATE(YEAR($C$10)+C34,MONTH($C$10),DAY($C$10))</f>
        <v>23742</v>
      </c>
      <c r="D35" s="64">
        <f>DATE(YEAR($C$10)+D34,MONTH($C$10),DAY($C$10))</f>
        <v>23742</v>
      </c>
    </row>
    <row r="36" spans="2:8" x14ac:dyDescent="0.25">
      <c r="B36" t="s">
        <v>129</v>
      </c>
      <c r="C36" s="53">
        <f ca="1">IF(C35&gt;$C9,(DATEDIF($C$9,C35,"M")+IF(DAY(C35)=DAY($C$9),0,1))/12,0)</f>
        <v>0</v>
      </c>
      <c r="D36" s="53">
        <f ca="1">IF(D35&gt;$C9,(DATEDIF($C$9,D35,"M")+IF(DAY(D35)=DAY($C$9),0,1))/12,0)</f>
        <v>0</v>
      </c>
      <c r="F36" s="135"/>
    </row>
    <row r="37" spans="2:8" x14ac:dyDescent="0.25">
      <c r="B37" s="1" t="s">
        <v>126</v>
      </c>
      <c r="C37" s="43">
        <f>HLOOKUP($C$3,Staging!$C$4:$G$61,MATCH(C$18&amp;"_"&amp;$B37,Staging!$B$4:$B$61,FALSE),FALSE)</f>
        <v>0</v>
      </c>
      <c r="D37" s="43" t="str">
        <f>HLOOKUP($C$3,Staging!$C$4:$G$61,MATCH(D$18&amp;"_"&amp;$B37,Staging!$B$4:$B$61,FALSE),FALSE)</f>
        <v/>
      </c>
    </row>
    <row r="38" spans="2:8" x14ac:dyDescent="0.25">
      <c r="C38" s="2"/>
      <c r="D38" s="31"/>
    </row>
    <row r="39" spans="2:8" x14ac:dyDescent="0.25">
      <c r="B39" s="22" t="s">
        <v>121</v>
      </c>
      <c r="C39" s="43" t="str">
        <f>HLOOKUP(C$3,Staging!$C$4:$G$61,MATCH(B39,Staging!$B$4:$B$61,FALSE),FALSE)</f>
        <v>Gendered</v>
      </c>
    </row>
    <row r="41" spans="2:8" x14ac:dyDescent="0.25">
      <c r="B41" t="s">
        <v>98</v>
      </c>
      <c r="C41" s="2" t="s">
        <v>29</v>
      </c>
      <c r="D41" s="2" t="s">
        <v>8</v>
      </c>
      <c r="E41" s="66" t="e">
        <f>IF($E25=2,$K$6,IF($E25=5,$K$7,IF($E25=65,$K$8,NA())))</f>
        <v>#N/A</v>
      </c>
    </row>
    <row r="42" spans="2:8" x14ac:dyDescent="0.25">
      <c r="B42" s="22" t="s">
        <v>88</v>
      </c>
      <c r="C42" s="75">
        <f>INDEX($L$4:$N$8,MATCH(C$41,$K$4:$K$8,FALSE),MATCH($C$16,$L$3:$N$3,FALSE))</f>
        <v>0.45</v>
      </c>
      <c r="D42" s="75">
        <f>INDEX($L$4:$N$8,MATCH(D$41,$K$4:$K$8,FALSE),MATCH($C$16,$L$3:$N$3,FALSE))</f>
        <v>0.45</v>
      </c>
      <c r="E42" s="75" t="e">
        <f>INDEX($L$4:$N$8,MATCH(E$41,$K$4:$K$8,FALSE),MATCH($C$16,$L$3:$N$3,FALSE))</f>
        <v>#N/A</v>
      </c>
    </row>
    <row r="43" spans="2:8" x14ac:dyDescent="0.25">
      <c r="B43" s="22" t="s">
        <v>99</v>
      </c>
      <c r="D43" s="32" t="e">
        <f>IF($E64=2,$K$6,IF($E64=5,$K$7,IF($E64=65,$K$8,NA())))</f>
        <v>#VALUE!</v>
      </c>
      <c r="E43" s="77" t="e">
        <f>INDEX($L$4:$N$8,MATCH(D$43,$K$4:$K$8,FALSE),MATCH($C$16,$L$3:$N$3,FALSE))</f>
        <v>#VALUE!</v>
      </c>
    </row>
    <row r="45" spans="2:8" x14ac:dyDescent="0.25">
      <c r="B45" s="34" t="s">
        <v>97</v>
      </c>
      <c r="C45" s="22" t="s">
        <v>67</v>
      </c>
      <c r="D45" s="22" t="s">
        <v>68</v>
      </c>
      <c r="E45" s="22" t="s">
        <v>69</v>
      </c>
    </row>
    <row r="46" spans="2:8" x14ac:dyDescent="0.25">
      <c r="B46" s="34" t="s">
        <v>131</v>
      </c>
      <c r="C46" s="22" t="s">
        <v>12</v>
      </c>
      <c r="D46" s="22" t="s">
        <v>13</v>
      </c>
      <c r="E46" s="78" t="str">
        <f>"SE_STD_"&amp;E25&amp;"_"&amp;E26</f>
        <v>SE_STD_0_0</v>
      </c>
      <c r="H46" t="s">
        <v>162</v>
      </c>
    </row>
    <row r="47" spans="2:8" x14ac:dyDescent="0.25">
      <c r="B47" s="22" t="s">
        <v>88</v>
      </c>
      <c r="C47" s="40">
        <f ca="1">IFERROR(Calculations!C$42*INDEX(INDIRECT($H$47),MATCH($C$11,INDIRECT($H$48),0),MATCH(C$46,INDIRECT($H$49),0)),0)</f>
        <v>0</v>
      </c>
      <c r="D47" s="40">
        <f ca="1">IFERROR(Calculations!D$42*INDEX(INDIRECT($H$47),MATCH($C$11,INDIRECT($H$48),0),MATCH(D$46,INDIRECT($H$49),0)),0)</f>
        <v>0</v>
      </c>
      <c r="E47" s="40">
        <f ca="1">IFERROR(Calculations!E$42*INDEX(INDIRECT($H$47),MATCH($C$11,INDIRECT($H$48),0),MATCH(E$46,INDIRECT($H$49),0)),0)</f>
        <v>0</v>
      </c>
      <c r="G47" t="s">
        <v>160</v>
      </c>
      <c r="H47" t="str">
        <f>"'Rates 2022"&amp;IF(Calculations!$C$39="Uni-sex","","-"&amp;LEFT($C$12,1))&amp;"'!$B$8:$L$68"</f>
        <v>'Rates 2022-0'!$B$8:$L$68</v>
      </c>
    </row>
    <row r="48" spans="2:8" x14ac:dyDescent="0.25">
      <c r="B48" s="22" t="s">
        <v>27</v>
      </c>
      <c r="C48" s="40">
        <f ca="1">IFERROR(Calculations!C$42*INDEX(INDIRECT($H$47),MATCH($C$11,INDIRECT($H$48),0),MATCH(C$46,INDIRECT($H$49),0)),0)</f>
        <v>0</v>
      </c>
      <c r="D48" s="40">
        <f ca="1">IFERROR(Calculations!D$42*INDEX(INDIRECT($H$47),MATCH($C$11,INDIRECT($H$48),0),MATCH(D$46,INDIRECT($H$49),0)),0)</f>
        <v>0</v>
      </c>
      <c r="E48" s="40">
        <f ca="1">IFERROR(Calculations!E$42*INDEX(INDIRECT($H$47),MATCH($C$11,INDIRECT($H$48),0),MATCH(E$46,INDIRECT($H$49),0)),0)</f>
        <v>0</v>
      </c>
      <c r="G48" t="s">
        <v>161</v>
      </c>
      <c r="H48" s="131" t="str">
        <f>"'Rates 2022"&amp;IF(Calculations!$C$39="Uni-sex","","-"&amp;LEFT($C$12,1))&amp;"'!$A$8:$A$68"</f>
        <v>'Rates 2022-0'!$A$8:$A$68</v>
      </c>
    </row>
    <row r="49" spans="2:10" x14ac:dyDescent="0.25">
      <c r="B49" s="22" t="s">
        <v>28</v>
      </c>
      <c r="C49" s="40">
        <f ca="1">IFERROR(Calculations!C$42*INDEX(INDIRECT($H$47),MATCH($C$11,INDIRECT($H$48),0),MATCH(C$46,INDIRECT($H$49),0)),0)</f>
        <v>0</v>
      </c>
      <c r="D49" s="40">
        <f ca="1">IFERROR(Calculations!D$42*INDEX(INDIRECT($H$47),MATCH($C$11,INDIRECT($H$48),0),MATCH(D$46,INDIRECT($H$49),0)),0)</f>
        <v>0</v>
      </c>
      <c r="E49" s="40">
        <f ca="1">IFERROR(Calculations!E$43*INDEX(INDIRECT($H$47),MATCH($C$11,INDIRECT($H$48),0),MATCH(E$66,INDIRECT($H$49),0)),0)</f>
        <v>0</v>
      </c>
      <c r="G49" t="s">
        <v>35</v>
      </c>
      <c r="H49" s="131" t="str">
        <f>"'Rates 2022"&amp;IF(Calculations!$C$39="Uni-sex","","-"&amp;LEFT($C$12,1))&amp;"'!$B$7:$L$7"</f>
        <v>'Rates 2022-0'!$B$7:$L$7</v>
      </c>
    </row>
    <row r="51" spans="2:10" x14ac:dyDescent="0.25">
      <c r="B51" s="34" t="s">
        <v>25</v>
      </c>
      <c r="C51" s="22" t="s">
        <v>67</v>
      </c>
      <c r="D51" s="22" t="s">
        <v>68</v>
      </c>
      <c r="E51" s="22" t="s">
        <v>69</v>
      </c>
      <c r="J51" t="s">
        <v>174</v>
      </c>
    </row>
    <row r="52" spans="2:10" x14ac:dyDescent="0.25">
      <c r="B52" s="22" t="s">
        <v>31</v>
      </c>
      <c r="C52" s="73">
        <f ca="1">IF(C$19="No basic cover","n/a",MIN(C$23,_xlfn.CEILING.MATH(C$29,1000)))</f>
        <v>0</v>
      </c>
      <c r="D52" s="73">
        <f ca="1">IF(D$19="No basic cover","n/a",MIN(D$23,_xlfn.CEILING.MATH(D$29,1000)))</f>
        <v>0</v>
      </c>
      <c r="E52" s="73" t="str">
        <f>IF(E$19="No basic cover","n/a",MIN(E$23,_xlfn.CEILING.MATH(E$29,100)))</f>
        <v>n/a</v>
      </c>
    </row>
    <row r="53" spans="2:10" x14ac:dyDescent="0.25">
      <c r="B53" s="22" t="s">
        <v>26</v>
      </c>
      <c r="C53" s="74">
        <f ca="1">IF(C19="No basic cover",0,C52/10000*C$47)</f>
        <v>0</v>
      </c>
      <c r="D53" s="74">
        <f ca="1">IF(D19="No basic cover",0,D52/10000*D$47)</f>
        <v>0</v>
      </c>
      <c r="E53" s="74">
        <f>IF(E19="No basic cover",0,E52/100*E$47)</f>
        <v>0</v>
      </c>
    </row>
    <row r="55" spans="2:10" x14ac:dyDescent="0.25">
      <c r="B55" s="70" t="s">
        <v>27</v>
      </c>
      <c r="C55" s="25" t="s">
        <v>67</v>
      </c>
      <c r="D55" s="25" t="s">
        <v>68</v>
      </c>
      <c r="E55" s="25" t="s">
        <v>69</v>
      </c>
    </row>
    <row r="56" spans="2:10" x14ac:dyDescent="0.25">
      <c r="B56" s="25" t="s">
        <v>31</v>
      </c>
      <c r="C56" s="71">
        <f ca="1">IF(C$19="No basic cover","n/a",MIN(C$24,_xlfn.CEILING.MATH(C$29,1000)))</f>
        <v>0</v>
      </c>
      <c r="D56" s="71">
        <f ca="1">IF(D$19="No basic cover","n/a",MIN(D$24,_xlfn.CEILING.MATH(D$29,1000)))</f>
        <v>0</v>
      </c>
      <c r="E56" s="71" t="str">
        <f>IF(E$19="No basic cover","n/a",MIN(E$24,_xlfn.CEILING.MATH(E$29,100)))</f>
        <v>n/a</v>
      </c>
    </row>
    <row r="57" spans="2:10" x14ac:dyDescent="0.25">
      <c r="B57" s="25" t="s">
        <v>26</v>
      </c>
      <c r="C57" s="72">
        <f ca="1">IF(C19="No basic cover",0,C56/10000*C$48)</f>
        <v>0</v>
      </c>
      <c r="D57" s="72">
        <f ca="1">IF(D19="No basic cover",0,D56/10000*D$48)</f>
        <v>0</v>
      </c>
      <c r="E57" s="72">
        <f>IF(E19="No basic cover",0,E56/100*E$48)</f>
        <v>0</v>
      </c>
    </row>
    <row r="58" spans="2:10" ht="45" x14ac:dyDescent="0.25">
      <c r="B58" t="s">
        <v>82</v>
      </c>
      <c r="C58" s="38" t="str">
        <f ca="1">IF(C$19="No basic cover","",
IF(C69,"^ Basic Death cover ends at age "&amp;C68&amp;".",
IF(C56&gt;C52,"^ You will be capped at the automatic limit of $"&amp;TEXT(C52,"0,000")&amp;". To have basic cover above the automatic limit in line with your salary, you’ll need to provide detailed health information for the Insurer to consider.",
"")))</f>
        <v>^ Basic Death cover ends at age 65.</v>
      </c>
      <c r="D58" s="38" t="str">
        <f ca="1">IF(D$19="No basic cover","",
IF(D69,"† Basic TPD cover ends at age "&amp;D68&amp;".",
IF(D56&gt;D52,"† You will be capped at the automatic limit of $"&amp;TEXT(D52,"0,000")&amp;". To have basic cover above the automatic limit in line with your salary, you’ll need to provide detailed health information for the Insurer to consider.",
"")))</f>
        <v>† Basic TPD cover ends at age 65.</v>
      </c>
      <c r="E58" s="38" t="str">
        <f>IF(E$19="No basic cover","",
IF(E69,"‡ Basic Income Protection ends at age "&amp;E68&amp;".",
IF(E56&gt;E52,"‡ You will be capped at the automatic limit of $"&amp;TEXT(E52,"0,000")&amp;". To have basic cover above the automatic limit in line with your salary, you’ll need to provide detailed health information for the Insurer to consider.",
"")))</f>
        <v/>
      </c>
      <c r="F58" t="s">
        <v>95</v>
      </c>
    </row>
    <row r="60" spans="2:10" x14ac:dyDescent="0.25">
      <c r="B60" s="67" t="s">
        <v>28</v>
      </c>
      <c r="C60" s="47" t="s">
        <v>67</v>
      </c>
      <c r="D60" s="47" t="s">
        <v>68</v>
      </c>
      <c r="E60" s="47" t="s">
        <v>69</v>
      </c>
    </row>
    <row r="61" spans="2:10" x14ac:dyDescent="0.25">
      <c r="B61" s="47" t="s">
        <v>31</v>
      </c>
      <c r="C61" s="68">
        <f>Summary!J9</f>
        <v>0</v>
      </c>
      <c r="D61" s="68">
        <f>Summary!J10</f>
        <v>0</v>
      </c>
      <c r="E61" s="68">
        <f>Summary!J15</f>
        <v>0</v>
      </c>
    </row>
    <row r="62" spans="2:10" x14ac:dyDescent="0.25">
      <c r="B62" s="47" t="s">
        <v>26</v>
      </c>
      <c r="C62" s="69">
        <f ca="1">C61/10000*C$49</f>
        <v>0</v>
      </c>
      <c r="D62" s="69">
        <f ca="1">D61/10000*D$49</f>
        <v>0</v>
      </c>
      <c r="E62" s="69">
        <f ca="1">E61/100*E$49</f>
        <v>0</v>
      </c>
    </row>
    <row r="64" spans="2:10" x14ac:dyDescent="0.25">
      <c r="D64" s="32" t="s">
        <v>79</v>
      </c>
      <c r="E64" s="24" t="e">
        <f>VALUE(RIGHT(SUBSTITUTE(Summary!J16," years",""),2))</f>
        <v>#VALUE!</v>
      </c>
    </row>
    <row r="65" spans="2:5" x14ac:dyDescent="0.25">
      <c r="D65" s="32" t="s">
        <v>80</v>
      </c>
      <c r="E65" s="24" t="e">
        <f>VALUE(SUBSTITUTE(Summary!J17," days",""))</f>
        <v>#VALUE!</v>
      </c>
    </row>
    <row r="66" spans="2:5" x14ac:dyDescent="0.25">
      <c r="D66" s="32" t="s">
        <v>70</v>
      </c>
      <c r="E66" s="24" t="e">
        <f>"SE_STD_"&amp;E64&amp;"_"&amp;E65</f>
        <v>#VALUE!</v>
      </c>
    </row>
    <row r="68" spans="2:5" x14ac:dyDescent="0.25">
      <c r="B68" t="s">
        <v>154</v>
      </c>
      <c r="C68">
        <f>MIN(C34,C22)</f>
        <v>65</v>
      </c>
      <c r="D68">
        <f t="shared" ref="D68" si="0">MIN(D34,D22)</f>
        <v>65</v>
      </c>
      <c r="E68">
        <f>MIN(IF(E25=2,70,65),E22)</f>
        <v>65</v>
      </c>
    </row>
    <row r="69" spans="2:5" x14ac:dyDescent="0.25">
      <c r="B69" t="s">
        <v>155</v>
      </c>
      <c r="C69" t="b">
        <f ca="1">$C$11&gt;=C68</f>
        <v>1</v>
      </c>
      <c r="D69" t="b">
        <f ca="1">$C$11&gt;=D68</f>
        <v>1</v>
      </c>
      <c r="E69" t="b">
        <f t="shared" ref="E69" ca="1" si="1">$C$11&gt;=E68</f>
        <v>1</v>
      </c>
    </row>
    <row r="70" spans="2:5" x14ac:dyDescent="0.25">
      <c r="B70" t="s">
        <v>156</v>
      </c>
      <c r="C70" t="b">
        <f ca="1">OR($C$11&lt;15,$C$11&gt;69)</f>
        <v>1</v>
      </c>
      <c r="D70" t="b">
        <f ca="1">OR($C$11&lt;15,$C$11&gt;64)</f>
        <v>1</v>
      </c>
      <c r="E70" t="b">
        <f ca="1">OR($C$11&lt;15,$C$11&gt;64)</f>
        <v>1</v>
      </c>
    </row>
    <row r="71" spans="2:5" x14ac:dyDescent="0.25">
      <c r="B71" t="s">
        <v>157</v>
      </c>
      <c r="C71" t="b">
        <f ca="1">C56&gt;C23</f>
        <v>0</v>
      </c>
      <c r="D71" t="b">
        <f t="shared" ref="D71:E71" ca="1" si="2">D56&gt;D23</f>
        <v>0</v>
      </c>
      <c r="E71" t="b">
        <f t="shared" si="2"/>
        <v>0</v>
      </c>
    </row>
    <row r="79" spans="2:5" x14ac:dyDescent="0.25">
      <c r="D79" t="s">
        <v>175</v>
      </c>
    </row>
  </sheetData>
  <sheetProtection algorithmName="SHA-512" hashValue="ko1VXAG/LzwNUjkwB5+4/RskYkV7uY1WQwH6JbTrfyGFGrGZAi+9N7AalI6BNyqm1GkJCw3ob8bPbYa/5KgLWw==" saltValue="m63R2P5oybPfK7uUBFWYuA==" spinCount="100000" sheet="1" objects="1" scenarios="1" selectLockedCells="1"/>
  <dataConsolidate/>
  <mergeCells count="1">
    <mergeCell ref="K2:N2"/>
  </mergeCells>
  <pageMargins left="0.7" right="0.7" top="0.75" bottom="0.75" header="0.3" footer="0.3"/>
  <pageSetup paperSize="9" orientation="portrait" r:id="rId1"/>
  <ignoredErrors>
    <ignoredError sqref="C31:E3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36CA1-7704-4CE9-B1D2-91522271872F}">
  <sheetPr codeName="Sheet4">
    <tabColor rgb="FF00B0F0"/>
  </sheetPr>
  <dimension ref="B2:K61"/>
  <sheetViews>
    <sheetView zoomScaleNormal="100" workbookViewId="0">
      <selection sqref="A1:XFD1048576"/>
    </sheetView>
  </sheetViews>
  <sheetFormatPr defaultRowHeight="15" x14ac:dyDescent="0.25"/>
  <cols>
    <col min="1" max="1" width="5.5703125" customWidth="1"/>
    <col min="2" max="2" width="25.5703125" customWidth="1"/>
    <col min="3" max="7" width="13.140625" customWidth="1"/>
    <col min="8" max="8" width="5.5703125" customWidth="1"/>
  </cols>
  <sheetData>
    <row r="2" spans="2:11" x14ac:dyDescent="0.25">
      <c r="B2" s="22" t="s">
        <v>44</v>
      </c>
      <c r="C2" s="129" t="s">
        <v>176</v>
      </c>
      <c r="J2" t="s">
        <v>84</v>
      </c>
      <c r="K2">
        <v>2</v>
      </c>
    </row>
    <row r="3" spans="2:11" x14ac:dyDescent="0.25">
      <c r="B3" s="55" t="s">
        <v>117</v>
      </c>
      <c r="C3" s="56">
        <v>1</v>
      </c>
      <c r="J3" t="s">
        <v>85</v>
      </c>
    </row>
    <row r="4" spans="2:11" x14ac:dyDescent="0.25">
      <c r="B4" s="22" t="s">
        <v>77</v>
      </c>
      <c r="C4" s="52">
        <v>1</v>
      </c>
      <c r="D4" s="21">
        <v>2</v>
      </c>
      <c r="E4" s="21">
        <v>3</v>
      </c>
      <c r="F4" s="21">
        <v>4</v>
      </c>
      <c r="G4" s="21">
        <v>5</v>
      </c>
      <c r="J4" t="s">
        <v>78</v>
      </c>
    </row>
    <row r="5" spans="2:11" x14ac:dyDescent="0.25">
      <c r="B5" s="22" t="s">
        <v>72</v>
      </c>
      <c r="C5" s="21" t="s">
        <v>178</v>
      </c>
      <c r="D5" s="21" t="s">
        <v>179</v>
      </c>
      <c r="E5" s="21" t="s">
        <v>180</v>
      </c>
      <c r="F5" s="21" t="s">
        <v>181</v>
      </c>
      <c r="G5" s="21" t="s">
        <v>182</v>
      </c>
      <c r="J5" t="s">
        <v>86</v>
      </c>
    </row>
    <row r="6" spans="2:11" x14ac:dyDescent="0.25">
      <c r="B6" s="22" t="s">
        <v>81</v>
      </c>
      <c r="C6" s="26">
        <v>19</v>
      </c>
      <c r="D6" s="26" t="s">
        <v>183</v>
      </c>
      <c r="E6" s="26" t="s">
        <v>183</v>
      </c>
      <c r="F6" s="26" t="s">
        <v>183</v>
      </c>
      <c r="G6" s="26" t="s">
        <v>183</v>
      </c>
    </row>
    <row r="7" spans="2:11" ht="150" x14ac:dyDescent="0.25">
      <c r="B7" s="22" t="s">
        <v>91</v>
      </c>
      <c r="C7" s="42" t="s">
        <v>177</v>
      </c>
      <c r="D7" s="42" t="s">
        <v>183</v>
      </c>
      <c r="E7" s="42" t="s">
        <v>183</v>
      </c>
      <c r="F7" s="42" t="s">
        <v>183</v>
      </c>
      <c r="G7" s="42" t="s">
        <v>183</v>
      </c>
    </row>
    <row r="8" spans="2:11" x14ac:dyDescent="0.25">
      <c r="B8" s="22" t="s">
        <v>121</v>
      </c>
      <c r="C8" s="42" t="s">
        <v>45</v>
      </c>
      <c r="D8" s="42" t="s">
        <v>183</v>
      </c>
      <c r="E8" s="42" t="s">
        <v>183</v>
      </c>
      <c r="F8" s="42" t="s">
        <v>183</v>
      </c>
      <c r="G8" s="42" t="s">
        <v>183</v>
      </c>
    </row>
    <row r="9" spans="2:11" x14ac:dyDescent="0.25">
      <c r="B9" s="22" t="s">
        <v>36</v>
      </c>
      <c r="C9" s="21" t="s">
        <v>37</v>
      </c>
      <c r="D9" s="21" t="s">
        <v>183</v>
      </c>
      <c r="E9" s="21" t="s">
        <v>183</v>
      </c>
      <c r="F9" s="21" t="s">
        <v>183</v>
      </c>
      <c r="G9" s="21" t="s">
        <v>183</v>
      </c>
    </row>
    <row r="10" spans="2:11" x14ac:dyDescent="0.25">
      <c r="B10" s="39" t="s">
        <v>48</v>
      </c>
      <c r="C10" s="21" t="s">
        <v>33</v>
      </c>
      <c r="D10" s="21" t="s">
        <v>183</v>
      </c>
      <c r="E10" s="21" t="s">
        <v>183</v>
      </c>
      <c r="F10" s="21" t="s">
        <v>183</v>
      </c>
      <c r="G10" s="21" t="s">
        <v>183</v>
      </c>
    </row>
    <row r="11" spans="2:11" x14ac:dyDescent="0.25">
      <c r="B11" s="22" t="s">
        <v>47</v>
      </c>
      <c r="C11" s="21">
        <v>70</v>
      </c>
      <c r="D11" s="21" t="s">
        <v>183</v>
      </c>
      <c r="E11" s="21" t="s">
        <v>183</v>
      </c>
      <c r="F11" s="21" t="s">
        <v>183</v>
      </c>
      <c r="G11" s="21" t="s">
        <v>183</v>
      </c>
    </row>
    <row r="12" spans="2:11" x14ac:dyDescent="0.25">
      <c r="B12" s="47" t="s">
        <v>104</v>
      </c>
      <c r="C12" s="21">
        <v>0</v>
      </c>
      <c r="D12" s="21" t="s">
        <v>183</v>
      </c>
      <c r="E12" s="21" t="s">
        <v>183</v>
      </c>
      <c r="F12" s="21" t="s">
        <v>183</v>
      </c>
      <c r="G12" s="21" t="s">
        <v>183</v>
      </c>
    </row>
    <row r="13" spans="2:11" x14ac:dyDescent="0.25">
      <c r="B13" s="47" t="s">
        <v>116</v>
      </c>
      <c r="C13" s="21">
        <v>0</v>
      </c>
      <c r="D13" s="21" t="s">
        <v>183</v>
      </c>
      <c r="E13" s="21" t="s">
        <v>183</v>
      </c>
      <c r="F13" s="21" t="s">
        <v>183</v>
      </c>
      <c r="G13" s="21" t="s">
        <v>183</v>
      </c>
    </row>
    <row r="14" spans="2:11" x14ac:dyDescent="0.25">
      <c r="B14" s="47" t="s">
        <v>49</v>
      </c>
      <c r="C14" s="21">
        <v>0.05</v>
      </c>
      <c r="D14" s="21" t="s">
        <v>183</v>
      </c>
      <c r="E14" s="21" t="s">
        <v>183</v>
      </c>
      <c r="F14" s="21" t="s">
        <v>183</v>
      </c>
      <c r="G14" s="21" t="s">
        <v>183</v>
      </c>
    </row>
    <row r="15" spans="2:11" x14ac:dyDescent="0.25">
      <c r="B15" s="47" t="s">
        <v>46</v>
      </c>
      <c r="C15" s="21">
        <v>65</v>
      </c>
      <c r="D15" s="21" t="s">
        <v>183</v>
      </c>
      <c r="E15" s="21" t="s">
        <v>183</v>
      </c>
      <c r="F15" s="21" t="s">
        <v>183</v>
      </c>
      <c r="G15" s="21" t="s">
        <v>183</v>
      </c>
    </row>
    <row r="16" spans="2:11" x14ac:dyDescent="0.25">
      <c r="B16" s="47" t="s">
        <v>113</v>
      </c>
      <c r="C16" s="21">
        <v>0</v>
      </c>
      <c r="D16" s="21" t="s">
        <v>183</v>
      </c>
      <c r="E16" s="21" t="s">
        <v>183</v>
      </c>
      <c r="F16" s="21" t="s">
        <v>183</v>
      </c>
      <c r="G16" s="21" t="s">
        <v>183</v>
      </c>
    </row>
    <row r="17" spans="2:7" x14ac:dyDescent="0.25">
      <c r="B17" s="54" t="s">
        <v>50</v>
      </c>
      <c r="C17" s="21">
        <v>1500000</v>
      </c>
      <c r="D17" s="21" t="s">
        <v>183</v>
      </c>
      <c r="E17" s="21" t="s">
        <v>183</v>
      </c>
      <c r="F17" s="21" t="s">
        <v>183</v>
      </c>
      <c r="G17" s="21" t="s">
        <v>183</v>
      </c>
    </row>
    <row r="18" spans="2:7" x14ac:dyDescent="0.25">
      <c r="B18" s="54" t="s">
        <v>51</v>
      </c>
      <c r="C18" s="21">
        <v>999999999</v>
      </c>
      <c r="D18" s="21" t="s">
        <v>183</v>
      </c>
      <c r="E18" s="21" t="s">
        <v>183</v>
      </c>
      <c r="F18" s="21" t="s">
        <v>183</v>
      </c>
      <c r="G18" s="21" t="s">
        <v>183</v>
      </c>
    </row>
    <row r="19" spans="2:7" x14ac:dyDescent="0.25">
      <c r="B19" s="39" t="s">
        <v>54</v>
      </c>
      <c r="C19" s="21" t="s">
        <v>33</v>
      </c>
      <c r="D19" s="21" t="s">
        <v>183</v>
      </c>
      <c r="E19" s="21" t="s">
        <v>183</v>
      </c>
      <c r="F19" s="21" t="s">
        <v>183</v>
      </c>
      <c r="G19" s="21" t="s">
        <v>183</v>
      </c>
    </row>
    <row r="20" spans="2:7" x14ac:dyDescent="0.25">
      <c r="B20" s="22" t="s">
        <v>53</v>
      </c>
      <c r="C20" s="21">
        <v>65</v>
      </c>
      <c r="D20" s="21" t="s">
        <v>183</v>
      </c>
      <c r="E20" s="21" t="s">
        <v>183</v>
      </c>
      <c r="F20" s="21" t="s">
        <v>183</v>
      </c>
      <c r="G20" s="21" t="s">
        <v>183</v>
      </c>
    </row>
    <row r="21" spans="2:7" x14ac:dyDescent="0.25">
      <c r="B21" s="47" t="s">
        <v>105</v>
      </c>
      <c r="C21" s="21" t="s">
        <v>183</v>
      </c>
      <c r="D21" s="21" t="s">
        <v>183</v>
      </c>
      <c r="E21" s="21" t="s">
        <v>183</v>
      </c>
      <c r="F21" s="21" t="s">
        <v>183</v>
      </c>
      <c r="G21" s="21" t="s">
        <v>183</v>
      </c>
    </row>
    <row r="22" spans="2:7" x14ac:dyDescent="0.25">
      <c r="B22" s="47" t="s">
        <v>115</v>
      </c>
      <c r="C22" s="21" t="s">
        <v>183</v>
      </c>
      <c r="D22" s="21" t="s">
        <v>183</v>
      </c>
      <c r="E22" s="21" t="s">
        <v>183</v>
      </c>
      <c r="F22" s="21" t="s">
        <v>183</v>
      </c>
      <c r="G22" s="21" t="s">
        <v>183</v>
      </c>
    </row>
    <row r="23" spans="2:7" x14ac:dyDescent="0.25">
      <c r="B23" s="47" t="s">
        <v>55</v>
      </c>
      <c r="C23" s="21">
        <v>0.05</v>
      </c>
      <c r="D23" s="21" t="s">
        <v>183</v>
      </c>
      <c r="E23" s="21" t="s">
        <v>183</v>
      </c>
      <c r="F23" s="21" t="s">
        <v>183</v>
      </c>
      <c r="G23" s="21" t="s">
        <v>183</v>
      </c>
    </row>
    <row r="24" spans="2:7" x14ac:dyDescent="0.25">
      <c r="B24" s="47" t="s">
        <v>52</v>
      </c>
      <c r="C24" s="21">
        <v>65</v>
      </c>
      <c r="D24" s="21" t="s">
        <v>183</v>
      </c>
      <c r="E24" s="21" t="s">
        <v>183</v>
      </c>
      <c r="F24" s="21" t="s">
        <v>183</v>
      </c>
      <c r="G24" s="21" t="s">
        <v>183</v>
      </c>
    </row>
    <row r="25" spans="2:7" x14ac:dyDescent="0.25">
      <c r="B25" s="47" t="s">
        <v>112</v>
      </c>
      <c r="C25" s="21" t="s">
        <v>183</v>
      </c>
      <c r="D25" s="21" t="s">
        <v>183</v>
      </c>
      <c r="E25" s="21" t="s">
        <v>183</v>
      </c>
      <c r="F25" s="21" t="s">
        <v>183</v>
      </c>
      <c r="G25" s="21" t="s">
        <v>183</v>
      </c>
    </row>
    <row r="26" spans="2:7" x14ac:dyDescent="0.25">
      <c r="B26" s="54" t="s">
        <v>56</v>
      </c>
      <c r="C26" s="21">
        <v>1500000</v>
      </c>
      <c r="D26" s="21" t="s">
        <v>183</v>
      </c>
      <c r="E26" s="21" t="s">
        <v>183</v>
      </c>
      <c r="F26" s="21" t="s">
        <v>183</v>
      </c>
      <c r="G26" s="21" t="s">
        <v>183</v>
      </c>
    </row>
    <row r="27" spans="2:7" x14ac:dyDescent="0.25">
      <c r="B27" s="54" t="s">
        <v>57</v>
      </c>
      <c r="C27" s="21">
        <v>3000000</v>
      </c>
      <c r="D27" s="21" t="s">
        <v>183</v>
      </c>
      <c r="E27" s="21" t="s">
        <v>183</v>
      </c>
      <c r="F27" s="21" t="s">
        <v>183</v>
      </c>
      <c r="G27" s="21" t="s">
        <v>183</v>
      </c>
    </row>
    <row r="28" spans="2:7" x14ac:dyDescent="0.25">
      <c r="B28" s="39" t="s">
        <v>61</v>
      </c>
      <c r="C28" s="21" t="s">
        <v>118</v>
      </c>
      <c r="D28" s="21" t="s">
        <v>183</v>
      </c>
      <c r="E28" s="21" t="s">
        <v>183</v>
      </c>
      <c r="F28" s="21" t="s">
        <v>183</v>
      </c>
      <c r="G28" s="21" t="s">
        <v>183</v>
      </c>
    </row>
    <row r="29" spans="2:7" x14ac:dyDescent="0.25">
      <c r="B29" s="22" t="s">
        <v>58</v>
      </c>
      <c r="C29" s="21">
        <v>70</v>
      </c>
      <c r="D29" s="21" t="s">
        <v>183</v>
      </c>
      <c r="E29" s="21" t="s">
        <v>183</v>
      </c>
      <c r="F29" s="21" t="s">
        <v>183</v>
      </c>
      <c r="G29" s="21" t="s">
        <v>183</v>
      </c>
    </row>
    <row r="30" spans="2:7" x14ac:dyDescent="0.25">
      <c r="B30" s="22" t="s">
        <v>59</v>
      </c>
      <c r="C30" s="21">
        <v>0</v>
      </c>
      <c r="D30" s="21" t="s">
        <v>183</v>
      </c>
      <c r="E30" s="21" t="s">
        <v>183</v>
      </c>
      <c r="F30" s="21" t="s">
        <v>183</v>
      </c>
      <c r="G30" s="21" t="s">
        <v>183</v>
      </c>
    </row>
    <row r="31" spans="2:7" x14ac:dyDescent="0.25">
      <c r="B31" s="22" t="s">
        <v>60</v>
      </c>
      <c r="C31" s="21">
        <v>0</v>
      </c>
      <c r="D31" s="21" t="s">
        <v>183</v>
      </c>
      <c r="E31" s="21" t="s">
        <v>183</v>
      </c>
      <c r="F31" s="21" t="s">
        <v>183</v>
      </c>
      <c r="G31" s="21" t="s">
        <v>183</v>
      </c>
    </row>
    <row r="32" spans="2:7" x14ac:dyDescent="0.25">
      <c r="B32" s="45" t="s">
        <v>106</v>
      </c>
      <c r="C32" s="21">
        <v>0</v>
      </c>
      <c r="D32" s="21" t="s">
        <v>183</v>
      </c>
      <c r="E32" s="21" t="s">
        <v>183</v>
      </c>
      <c r="F32" s="21" t="s">
        <v>183</v>
      </c>
      <c r="G32" s="21" t="s">
        <v>183</v>
      </c>
    </row>
    <row r="33" spans="2:7" x14ac:dyDescent="0.25">
      <c r="B33" s="45" t="s">
        <v>114</v>
      </c>
      <c r="C33" s="21">
        <v>0</v>
      </c>
      <c r="D33" s="21" t="s">
        <v>183</v>
      </c>
      <c r="E33" s="21" t="s">
        <v>183</v>
      </c>
      <c r="F33" s="21" t="s">
        <v>183</v>
      </c>
      <c r="G33" s="21" t="s">
        <v>183</v>
      </c>
    </row>
    <row r="34" spans="2:7" x14ac:dyDescent="0.25">
      <c r="B34" s="45" t="s">
        <v>62</v>
      </c>
      <c r="C34" s="21">
        <v>0</v>
      </c>
      <c r="D34" s="21" t="s">
        <v>183</v>
      </c>
      <c r="E34" s="21" t="s">
        <v>183</v>
      </c>
      <c r="F34" s="21" t="s">
        <v>183</v>
      </c>
      <c r="G34" s="21" t="s">
        <v>183</v>
      </c>
    </row>
    <row r="35" spans="2:7" x14ac:dyDescent="0.25">
      <c r="B35" s="22" t="s">
        <v>63</v>
      </c>
      <c r="C35" s="21" t="s">
        <v>172</v>
      </c>
      <c r="D35" s="21" t="s">
        <v>183</v>
      </c>
      <c r="E35" s="21" t="s">
        <v>183</v>
      </c>
      <c r="F35" s="21" t="s">
        <v>183</v>
      </c>
      <c r="G35" s="21" t="s">
        <v>183</v>
      </c>
    </row>
    <row r="36" spans="2:7" x14ac:dyDescent="0.25">
      <c r="B36" s="54" t="s">
        <v>64</v>
      </c>
      <c r="C36" s="21">
        <v>30000</v>
      </c>
      <c r="D36" s="21" t="s">
        <v>183</v>
      </c>
      <c r="E36" s="21" t="s">
        <v>183</v>
      </c>
      <c r="F36" s="21" t="s">
        <v>183</v>
      </c>
      <c r="G36" s="21" t="s">
        <v>183</v>
      </c>
    </row>
    <row r="38" spans="2:7" x14ac:dyDescent="0.25">
      <c r="B38" s="22" t="s">
        <v>75</v>
      </c>
      <c r="C38" s="41" t="s">
        <v>83</v>
      </c>
      <c r="D38" s="41" t="s">
        <v>183</v>
      </c>
      <c r="E38" s="41" t="s">
        <v>183</v>
      </c>
      <c r="F38" s="41" t="s">
        <v>183</v>
      </c>
      <c r="G38" s="41" t="s">
        <v>183</v>
      </c>
    </row>
    <row r="40" spans="2:7" ht="60" x14ac:dyDescent="0.25">
      <c r="B40" s="59" t="s">
        <v>119</v>
      </c>
      <c r="C40" s="42" t="s">
        <v>194</v>
      </c>
      <c r="D40" s="42" t="s">
        <v>183</v>
      </c>
      <c r="E40" s="42" t="s">
        <v>183</v>
      </c>
      <c r="F40" s="42" t="s">
        <v>183</v>
      </c>
      <c r="G40" s="42" t="s">
        <v>183</v>
      </c>
    </row>
    <row r="41" spans="2:7" x14ac:dyDescent="0.25">
      <c r="B41" s="57" t="s">
        <v>103</v>
      </c>
      <c r="C41" s="58">
        <v>0</v>
      </c>
      <c r="D41" s="58" t="s">
        <v>183</v>
      </c>
      <c r="E41" s="58" t="s">
        <v>183</v>
      </c>
      <c r="F41" s="58" t="s">
        <v>183</v>
      </c>
      <c r="G41" s="58" t="s">
        <v>183</v>
      </c>
    </row>
    <row r="42" spans="2:7" ht="30" x14ac:dyDescent="0.25">
      <c r="B42" s="57" t="s">
        <v>118</v>
      </c>
      <c r="C42" s="58" t="s">
        <v>118</v>
      </c>
      <c r="D42" s="58" t="s">
        <v>183</v>
      </c>
      <c r="E42" s="58" t="s">
        <v>183</v>
      </c>
      <c r="F42" s="58" t="s">
        <v>183</v>
      </c>
      <c r="G42" s="58" t="s">
        <v>183</v>
      </c>
    </row>
    <row r="43" spans="2:7" ht="30" x14ac:dyDescent="0.25">
      <c r="B43" s="57" t="s">
        <v>107</v>
      </c>
      <c r="C43" s="49" t="s">
        <v>107</v>
      </c>
      <c r="D43" s="49" t="s">
        <v>183</v>
      </c>
      <c r="E43" s="49" t="s">
        <v>183</v>
      </c>
      <c r="F43" s="49" t="s">
        <v>183</v>
      </c>
      <c r="G43" s="49" t="s">
        <v>183</v>
      </c>
    </row>
    <row r="44" spans="2:7" ht="30" x14ac:dyDescent="0.25">
      <c r="B44" s="57" t="s">
        <v>108</v>
      </c>
      <c r="C44" s="49" t="s">
        <v>107</v>
      </c>
      <c r="D44" s="49" t="s">
        <v>183</v>
      </c>
      <c r="E44" s="49" t="s">
        <v>183</v>
      </c>
      <c r="F44" s="49" t="s">
        <v>183</v>
      </c>
      <c r="G44" s="49" t="s">
        <v>183</v>
      </c>
    </row>
    <row r="45" spans="2:7" ht="60" x14ac:dyDescent="0.25">
      <c r="B45" s="57" t="s">
        <v>33</v>
      </c>
      <c r="C45" s="48" t="s">
        <v>194</v>
      </c>
      <c r="D45" s="48" t="s">
        <v>183</v>
      </c>
      <c r="E45" s="48" t="s">
        <v>183</v>
      </c>
      <c r="F45" s="48" t="s">
        <v>183</v>
      </c>
      <c r="G45" s="48" t="s">
        <v>183</v>
      </c>
    </row>
    <row r="46" spans="2:7" x14ac:dyDescent="0.25">
      <c r="B46" s="57" t="s">
        <v>66</v>
      </c>
      <c r="C46" s="48" t="s">
        <v>184</v>
      </c>
      <c r="D46" s="48" t="s">
        <v>183</v>
      </c>
      <c r="E46" s="48" t="s">
        <v>183</v>
      </c>
      <c r="F46" s="48" t="s">
        <v>183</v>
      </c>
      <c r="G46" s="48" t="s">
        <v>183</v>
      </c>
    </row>
    <row r="48" spans="2:7" ht="60" x14ac:dyDescent="0.25">
      <c r="B48" s="59" t="s">
        <v>120</v>
      </c>
      <c r="C48" s="42" t="s">
        <v>194</v>
      </c>
      <c r="D48" s="42" t="s">
        <v>183</v>
      </c>
      <c r="E48" s="42" t="s">
        <v>183</v>
      </c>
      <c r="F48" s="42" t="s">
        <v>183</v>
      </c>
      <c r="G48" s="42" t="s">
        <v>183</v>
      </c>
    </row>
    <row r="49" spans="2:11" x14ac:dyDescent="0.25">
      <c r="B49" s="57" t="s">
        <v>103</v>
      </c>
      <c r="C49" s="58" t="s">
        <v>183</v>
      </c>
      <c r="D49" s="58" t="s">
        <v>183</v>
      </c>
      <c r="E49" s="58" t="s">
        <v>183</v>
      </c>
      <c r="F49" s="58" t="s">
        <v>183</v>
      </c>
      <c r="G49" s="58" t="s">
        <v>183</v>
      </c>
    </row>
    <row r="50" spans="2:11" ht="30" x14ac:dyDescent="0.25">
      <c r="B50" s="57" t="s">
        <v>118</v>
      </c>
      <c r="C50" s="58" t="s">
        <v>118</v>
      </c>
      <c r="D50" s="58" t="s">
        <v>183</v>
      </c>
      <c r="E50" s="58" t="s">
        <v>183</v>
      </c>
      <c r="F50" s="58" t="s">
        <v>183</v>
      </c>
      <c r="G50" s="58" t="s">
        <v>183</v>
      </c>
    </row>
    <row r="51" spans="2:11" ht="30" x14ac:dyDescent="0.25">
      <c r="B51" s="57" t="s">
        <v>107</v>
      </c>
      <c r="C51" s="49" t="s">
        <v>107</v>
      </c>
      <c r="D51" s="49" t="s">
        <v>183</v>
      </c>
      <c r="E51" s="49" t="s">
        <v>183</v>
      </c>
      <c r="F51" s="49" t="s">
        <v>183</v>
      </c>
      <c r="G51" s="49" t="s">
        <v>183</v>
      </c>
    </row>
    <row r="52" spans="2:11" ht="30" x14ac:dyDescent="0.25">
      <c r="B52" s="57" t="s">
        <v>108</v>
      </c>
      <c r="C52" s="49" t="s">
        <v>107</v>
      </c>
      <c r="D52" s="49" t="s">
        <v>183</v>
      </c>
      <c r="E52" s="49" t="s">
        <v>183</v>
      </c>
      <c r="F52" s="49" t="s">
        <v>183</v>
      </c>
      <c r="G52" s="49" t="s">
        <v>183</v>
      </c>
    </row>
    <row r="53" spans="2:11" ht="60" x14ac:dyDescent="0.25">
      <c r="B53" s="57" t="s">
        <v>33</v>
      </c>
      <c r="C53" s="48" t="s">
        <v>194</v>
      </c>
      <c r="D53" s="48" t="s">
        <v>183</v>
      </c>
      <c r="E53" s="48" t="s">
        <v>183</v>
      </c>
      <c r="F53" s="48" t="s">
        <v>183</v>
      </c>
      <c r="G53" s="48" t="s">
        <v>183</v>
      </c>
    </row>
    <row r="54" spans="2:11" x14ac:dyDescent="0.25">
      <c r="B54" s="57" t="s">
        <v>66</v>
      </c>
      <c r="C54" s="48" t="s">
        <v>185</v>
      </c>
      <c r="D54" s="48" t="s">
        <v>183</v>
      </c>
      <c r="E54" s="48" t="s">
        <v>183</v>
      </c>
      <c r="F54" s="48" t="s">
        <v>183</v>
      </c>
      <c r="G54" s="48" t="s">
        <v>183</v>
      </c>
    </row>
    <row r="56" spans="2:11" ht="30" x14ac:dyDescent="0.25">
      <c r="B56" s="60" t="s">
        <v>122</v>
      </c>
      <c r="C56" s="42" t="s">
        <v>118</v>
      </c>
      <c r="D56" s="42" t="s">
        <v>183</v>
      </c>
      <c r="E56" s="42" t="s">
        <v>183</v>
      </c>
      <c r="F56" s="42" t="s">
        <v>183</v>
      </c>
      <c r="G56" s="42" t="s">
        <v>183</v>
      </c>
    </row>
    <row r="57" spans="2:11" x14ac:dyDescent="0.25">
      <c r="B57" s="51" t="s">
        <v>103</v>
      </c>
      <c r="C57" s="50">
        <v>0</v>
      </c>
      <c r="D57" s="50" t="s">
        <v>183</v>
      </c>
      <c r="E57" s="50" t="s">
        <v>183</v>
      </c>
      <c r="F57" s="50" t="s">
        <v>183</v>
      </c>
      <c r="G57" s="50" t="s">
        <v>183</v>
      </c>
    </row>
    <row r="58" spans="2:11" ht="30" x14ac:dyDescent="0.25">
      <c r="B58" s="51" t="s">
        <v>118</v>
      </c>
      <c r="C58" s="50" t="s">
        <v>118</v>
      </c>
      <c r="D58" s="50" t="s">
        <v>183</v>
      </c>
      <c r="E58" s="50" t="s">
        <v>183</v>
      </c>
      <c r="F58" s="50" t="s">
        <v>183</v>
      </c>
      <c r="G58" s="50" t="s">
        <v>183</v>
      </c>
    </row>
    <row r="59" spans="2:11" ht="30" x14ac:dyDescent="0.25">
      <c r="B59" s="51" t="s">
        <v>107</v>
      </c>
      <c r="C59" s="50" t="s">
        <v>107</v>
      </c>
      <c r="D59" s="50" t="s">
        <v>183</v>
      </c>
      <c r="E59" s="50" t="s">
        <v>183</v>
      </c>
      <c r="F59" s="50" t="s">
        <v>183</v>
      </c>
      <c r="G59" s="50" t="s">
        <v>183</v>
      </c>
    </row>
    <row r="60" spans="2:11" ht="30" x14ac:dyDescent="0.25">
      <c r="B60" s="51" t="s">
        <v>108</v>
      </c>
      <c r="C60" s="50" t="s">
        <v>107</v>
      </c>
      <c r="D60" s="50" t="s">
        <v>183</v>
      </c>
      <c r="E60" s="50" t="s">
        <v>183</v>
      </c>
      <c r="F60" s="50" t="s">
        <v>183</v>
      </c>
      <c r="G60" s="50" t="s">
        <v>183</v>
      </c>
    </row>
    <row r="61" spans="2:11" x14ac:dyDescent="0.25">
      <c r="B61" s="51" t="s">
        <v>109</v>
      </c>
      <c r="C61" s="46" t="s">
        <v>186</v>
      </c>
      <c r="D61" s="46" t="s">
        <v>183</v>
      </c>
      <c r="E61" s="46" t="s">
        <v>183</v>
      </c>
      <c r="F61" s="46" t="s">
        <v>183</v>
      </c>
      <c r="G61" s="46" t="s">
        <v>183</v>
      </c>
      <c r="K61" s="106"/>
    </row>
  </sheetData>
  <sheetProtection algorithmName="SHA-512" hashValue="bnkUmiFKjapoTdQY+/0rc17hdzBxT7CYYL8RfDf5bxLYw+QiFAr50JBQZb21254/NRCJfhZ0x9ZFmGtcSWlynQ==" saltValue="zGSebFhnUIzVx5EFnmXqVw==" spinCount="100000" sheet="1" objects="1" scenarios="1" selectLockedCells="1"/>
  <dataValidations count="1">
    <dataValidation type="list" allowBlank="1" showInputMessage="1" showErrorMessage="1" sqref="C2" xr:uid="{C78C668A-A976-4B67-AA2E-44A6B7F17A11}">
      <formula1>OFFSET(#REF!,0,0,#REF!)</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9F15-42DB-4FA1-BA0D-2FCC19420CB9}">
  <sheetPr codeName="Sheet9">
    <tabColor rgb="FF00B0F0"/>
  </sheetPr>
  <dimension ref="A1:L68"/>
  <sheetViews>
    <sheetView zoomScaleNormal="100" workbookViewId="0">
      <selection sqref="A1:L1048576"/>
    </sheetView>
  </sheetViews>
  <sheetFormatPr defaultRowHeight="15" x14ac:dyDescent="0.25"/>
  <cols>
    <col min="1" max="12" width="13.140625" customWidth="1"/>
  </cols>
  <sheetData>
    <row r="1" spans="1:12" ht="21" x14ac:dyDescent="0.35">
      <c r="A1" s="4" t="s">
        <v>187</v>
      </c>
      <c r="B1" s="5"/>
      <c r="C1" s="6"/>
      <c r="D1" s="6"/>
      <c r="E1" s="6"/>
      <c r="F1" s="6"/>
      <c r="G1" s="6"/>
      <c r="H1" s="6"/>
      <c r="I1" s="6"/>
      <c r="J1" s="6"/>
      <c r="K1" s="6"/>
      <c r="L1" s="6"/>
    </row>
    <row r="2" spans="1:12" x14ac:dyDescent="0.25">
      <c r="A2" s="7" t="s">
        <v>0</v>
      </c>
      <c r="B2" s="3"/>
    </row>
    <row r="3" spans="1:12" x14ac:dyDescent="0.25">
      <c r="A3" s="1" t="s">
        <v>1</v>
      </c>
    </row>
    <row r="4" spans="1:12" ht="15" customHeight="1" x14ac:dyDescent="0.25">
      <c r="A4" s="154" t="s">
        <v>2</v>
      </c>
      <c r="B4" s="157" t="s">
        <v>3</v>
      </c>
      <c r="C4" s="158"/>
      <c r="D4" s="159" t="s">
        <v>4</v>
      </c>
      <c r="E4" s="160"/>
      <c r="F4" s="161"/>
      <c r="G4" s="162" t="s">
        <v>5</v>
      </c>
      <c r="H4" s="163"/>
      <c r="I4" s="164"/>
      <c r="J4" s="165" t="s">
        <v>6</v>
      </c>
      <c r="K4" s="166"/>
      <c r="L4" s="167"/>
    </row>
    <row r="5" spans="1:12" x14ac:dyDescent="0.25">
      <c r="A5" s="155"/>
      <c r="B5" s="8" t="s">
        <v>7</v>
      </c>
      <c r="C5" s="8" t="s">
        <v>8</v>
      </c>
      <c r="D5" s="136" t="s">
        <v>9</v>
      </c>
      <c r="E5" s="136" t="s">
        <v>10</v>
      </c>
      <c r="F5" s="136" t="s">
        <v>11</v>
      </c>
      <c r="G5" s="10" t="s">
        <v>9</v>
      </c>
      <c r="H5" s="10" t="s">
        <v>10</v>
      </c>
      <c r="I5" s="10" t="s">
        <v>11</v>
      </c>
      <c r="J5" s="11" t="s">
        <v>9</v>
      </c>
      <c r="K5" s="11" t="s">
        <v>10</v>
      </c>
      <c r="L5" s="137" t="s">
        <v>11</v>
      </c>
    </row>
    <row r="6" spans="1:12" x14ac:dyDescent="0.25">
      <c r="A6" s="156"/>
      <c r="B6" s="12" t="s">
        <v>158</v>
      </c>
      <c r="C6" s="12" t="s">
        <v>158</v>
      </c>
      <c r="D6" s="13" t="s">
        <v>158</v>
      </c>
      <c r="E6" s="13" t="s">
        <v>158</v>
      </c>
      <c r="F6" s="13" t="s">
        <v>158</v>
      </c>
      <c r="G6" s="14" t="s">
        <v>158</v>
      </c>
      <c r="H6" s="14" t="s">
        <v>158</v>
      </c>
      <c r="I6" s="14" t="s">
        <v>158</v>
      </c>
      <c r="J6" s="15" t="s">
        <v>158</v>
      </c>
      <c r="K6" s="15" t="s">
        <v>158</v>
      </c>
      <c r="L6" s="15" t="s">
        <v>158</v>
      </c>
    </row>
    <row r="7" spans="1:12" x14ac:dyDescent="0.25">
      <c r="A7" s="16"/>
      <c r="B7" s="17" t="s">
        <v>12</v>
      </c>
      <c r="C7" s="17" t="s">
        <v>13</v>
      </c>
      <c r="D7" s="17" t="s">
        <v>14</v>
      </c>
      <c r="E7" s="17" t="s">
        <v>15</v>
      </c>
      <c r="F7" s="17" t="s">
        <v>16</v>
      </c>
      <c r="G7" s="17" t="s">
        <v>17</v>
      </c>
      <c r="H7" s="17" t="s">
        <v>18</v>
      </c>
      <c r="I7" s="17" t="s">
        <v>19</v>
      </c>
      <c r="J7" s="17" t="s">
        <v>20</v>
      </c>
      <c r="K7" s="17" t="s">
        <v>21</v>
      </c>
      <c r="L7" s="17" t="s">
        <v>22</v>
      </c>
    </row>
    <row r="8" spans="1:12" x14ac:dyDescent="0.25">
      <c r="A8" s="18">
        <v>15</v>
      </c>
      <c r="B8" s="19">
        <v>7.1348200000000001E-2</v>
      </c>
      <c r="C8" s="19">
        <v>4.3890000000000005E-2</v>
      </c>
      <c r="D8" s="19">
        <v>5.8319999999999997E-2</v>
      </c>
      <c r="E8" s="19">
        <v>1.8630000000000001E-2</v>
      </c>
      <c r="F8" s="19">
        <v>1.5390000000000001E-2</v>
      </c>
      <c r="G8" s="19">
        <v>0.14580000000000001</v>
      </c>
      <c r="H8" s="19">
        <v>0.10044</v>
      </c>
      <c r="I8" s="19">
        <v>8.3430000000000004E-2</v>
      </c>
      <c r="J8" s="19">
        <v>0.35721000000000003</v>
      </c>
      <c r="K8" s="19">
        <v>0.26082</v>
      </c>
      <c r="L8" s="19">
        <v>0.23085</v>
      </c>
    </row>
    <row r="9" spans="1:12" x14ac:dyDescent="0.25">
      <c r="A9" s="20">
        <v>16</v>
      </c>
      <c r="B9" s="19">
        <v>7.1348200000000001E-2</v>
      </c>
      <c r="C9" s="19">
        <v>4.3890000000000005E-2</v>
      </c>
      <c r="D9" s="19">
        <v>5.8319999999999997E-2</v>
      </c>
      <c r="E9" s="19">
        <v>1.8630000000000001E-2</v>
      </c>
      <c r="F9" s="19">
        <v>1.5390000000000001E-2</v>
      </c>
      <c r="G9" s="19">
        <v>0.14580000000000001</v>
      </c>
      <c r="H9" s="19">
        <v>0.10044</v>
      </c>
      <c r="I9" s="19">
        <v>8.3430000000000004E-2</v>
      </c>
      <c r="J9" s="19">
        <v>0.35721000000000003</v>
      </c>
      <c r="K9" s="19">
        <v>0.26082</v>
      </c>
      <c r="L9" s="19">
        <v>0.23085</v>
      </c>
    </row>
    <row r="10" spans="1:12" x14ac:dyDescent="0.25">
      <c r="A10" s="20">
        <v>17</v>
      </c>
      <c r="B10" s="19">
        <v>7.1348200000000001E-2</v>
      </c>
      <c r="C10" s="19">
        <v>4.3890000000000005E-2</v>
      </c>
      <c r="D10" s="19">
        <v>5.8319999999999997E-2</v>
      </c>
      <c r="E10" s="19">
        <v>1.8630000000000001E-2</v>
      </c>
      <c r="F10" s="19">
        <v>1.5390000000000001E-2</v>
      </c>
      <c r="G10" s="19">
        <v>0.14580000000000001</v>
      </c>
      <c r="H10" s="19">
        <v>0.10044</v>
      </c>
      <c r="I10" s="19">
        <v>8.3430000000000004E-2</v>
      </c>
      <c r="J10" s="19">
        <v>0.35721000000000003</v>
      </c>
      <c r="K10" s="19">
        <v>0.26082</v>
      </c>
      <c r="L10" s="19">
        <v>0.23085</v>
      </c>
    </row>
    <row r="11" spans="1:12" x14ac:dyDescent="0.25">
      <c r="A11" s="20">
        <v>18</v>
      </c>
      <c r="B11" s="19">
        <v>7.1348200000000001E-2</v>
      </c>
      <c r="C11" s="19">
        <v>4.3890000000000005E-2</v>
      </c>
      <c r="D11" s="19">
        <v>5.8319999999999997E-2</v>
      </c>
      <c r="E11" s="19">
        <v>1.8630000000000001E-2</v>
      </c>
      <c r="F11" s="19">
        <v>1.5390000000000001E-2</v>
      </c>
      <c r="G11" s="19">
        <v>0.14499000000000001</v>
      </c>
      <c r="H11" s="19">
        <v>0.10044</v>
      </c>
      <c r="I11" s="19">
        <v>8.3430000000000004E-2</v>
      </c>
      <c r="J11" s="19">
        <v>0.35721000000000003</v>
      </c>
      <c r="K11" s="19">
        <v>0.26082</v>
      </c>
      <c r="L11" s="19">
        <v>0.23085</v>
      </c>
    </row>
    <row r="12" spans="1:12" x14ac:dyDescent="0.25">
      <c r="A12" s="20">
        <v>19</v>
      </c>
      <c r="B12" s="19">
        <v>7.2218299999999999E-2</v>
      </c>
      <c r="C12" s="19">
        <v>4.3890000000000005E-2</v>
      </c>
      <c r="D12" s="19">
        <v>5.8319999999999997E-2</v>
      </c>
      <c r="E12" s="19">
        <v>1.8630000000000001E-2</v>
      </c>
      <c r="F12" s="19">
        <v>1.5390000000000001E-2</v>
      </c>
      <c r="G12" s="19">
        <v>0.14499000000000001</v>
      </c>
      <c r="H12" s="19">
        <v>0.10044</v>
      </c>
      <c r="I12" s="19">
        <v>8.3430000000000004E-2</v>
      </c>
      <c r="J12" s="19">
        <v>0.35721000000000003</v>
      </c>
      <c r="K12" s="19">
        <v>0.26082</v>
      </c>
      <c r="L12" s="19">
        <v>0.23085</v>
      </c>
    </row>
    <row r="13" spans="1:12" x14ac:dyDescent="0.25">
      <c r="A13" s="20">
        <v>20</v>
      </c>
      <c r="B13" s="19">
        <v>7.2218299999999999E-2</v>
      </c>
      <c r="C13" s="19">
        <v>4.3890000000000005E-2</v>
      </c>
      <c r="D13" s="19">
        <v>5.8319999999999997E-2</v>
      </c>
      <c r="E13" s="19">
        <v>1.8630000000000001E-2</v>
      </c>
      <c r="F13" s="19">
        <v>1.5390000000000001E-2</v>
      </c>
      <c r="G13" s="19">
        <v>0.14499000000000001</v>
      </c>
      <c r="H13" s="19">
        <v>0.10044</v>
      </c>
      <c r="I13" s="19">
        <v>8.3430000000000004E-2</v>
      </c>
      <c r="J13" s="19">
        <v>0.35721000000000003</v>
      </c>
      <c r="K13" s="19">
        <v>0.26082</v>
      </c>
      <c r="L13" s="19">
        <v>0.23085</v>
      </c>
    </row>
    <row r="14" spans="1:12" x14ac:dyDescent="0.25">
      <c r="A14" s="20">
        <v>21</v>
      </c>
      <c r="B14" s="19">
        <v>7.3088399999999998E-2</v>
      </c>
      <c r="C14" s="19">
        <v>4.4660000000000005E-2</v>
      </c>
      <c r="D14" s="19">
        <v>5.8319999999999997E-2</v>
      </c>
      <c r="E14" s="19">
        <v>2.1870000000000001E-2</v>
      </c>
      <c r="F14" s="19">
        <v>1.8630000000000001E-2</v>
      </c>
      <c r="G14" s="19">
        <v>0.14742</v>
      </c>
      <c r="H14" s="19">
        <v>0.10206000000000001</v>
      </c>
      <c r="I14" s="19">
        <v>8.4239999999999995E-2</v>
      </c>
      <c r="J14" s="19">
        <v>0.36612000000000006</v>
      </c>
      <c r="K14" s="19">
        <v>0.26730000000000004</v>
      </c>
      <c r="L14" s="19">
        <v>0.23652000000000001</v>
      </c>
    </row>
    <row r="15" spans="1:12" x14ac:dyDescent="0.25">
      <c r="A15" s="20">
        <v>22</v>
      </c>
      <c r="B15" s="19">
        <v>7.3958499999999996E-2</v>
      </c>
      <c r="C15" s="19">
        <v>4.4660000000000005E-2</v>
      </c>
      <c r="D15" s="19">
        <v>5.9130000000000002E-2</v>
      </c>
      <c r="E15" s="19">
        <v>2.511E-2</v>
      </c>
      <c r="F15" s="19">
        <v>2.0250000000000004E-2</v>
      </c>
      <c r="G15" s="19">
        <v>0.14985000000000001</v>
      </c>
      <c r="H15" s="19">
        <v>0.10368000000000001</v>
      </c>
      <c r="I15" s="19">
        <v>8.5860000000000006E-2</v>
      </c>
      <c r="J15" s="19">
        <v>0.37665000000000004</v>
      </c>
      <c r="K15" s="19">
        <v>0.27459000000000006</v>
      </c>
      <c r="L15" s="19">
        <v>0.24299999999999999</v>
      </c>
    </row>
    <row r="16" spans="1:12" x14ac:dyDescent="0.25">
      <c r="A16" s="20">
        <v>23</v>
      </c>
      <c r="B16" s="19">
        <v>7.4828599999999995E-2</v>
      </c>
      <c r="C16" s="19">
        <v>4.4660000000000005E-2</v>
      </c>
      <c r="D16" s="19">
        <v>6.0749999999999998E-2</v>
      </c>
      <c r="E16" s="19">
        <v>2.7540000000000005E-2</v>
      </c>
      <c r="F16" s="19">
        <v>2.3490000000000004E-2</v>
      </c>
      <c r="G16" s="19">
        <v>0.15309</v>
      </c>
      <c r="H16" s="19">
        <v>0.1053</v>
      </c>
      <c r="I16" s="19">
        <v>8.7480000000000002E-2</v>
      </c>
      <c r="J16" s="19">
        <v>0.38636999999999999</v>
      </c>
      <c r="K16" s="19">
        <v>0.28106999999999999</v>
      </c>
      <c r="L16" s="19">
        <v>0.24948000000000001</v>
      </c>
    </row>
    <row r="17" spans="1:12" x14ac:dyDescent="0.25">
      <c r="A17" s="20">
        <v>24</v>
      </c>
      <c r="B17" s="19">
        <v>7.6568799999999992E-2</v>
      </c>
      <c r="C17" s="19">
        <v>4.5429999999999998E-2</v>
      </c>
      <c r="D17" s="19">
        <v>6.2370000000000002E-2</v>
      </c>
      <c r="E17" s="19">
        <v>3.159E-2</v>
      </c>
      <c r="F17" s="19">
        <v>2.6730000000000004E-2</v>
      </c>
      <c r="G17" s="19">
        <v>0.15552000000000002</v>
      </c>
      <c r="H17" s="19">
        <v>0.10692000000000002</v>
      </c>
      <c r="I17" s="19">
        <v>8.9100000000000013E-2</v>
      </c>
      <c r="J17" s="19">
        <v>0.39609</v>
      </c>
      <c r="K17" s="19">
        <v>0.28836000000000001</v>
      </c>
      <c r="L17" s="19">
        <v>0.25515000000000004</v>
      </c>
    </row>
    <row r="18" spans="1:12" x14ac:dyDescent="0.25">
      <c r="A18" s="20">
        <v>25</v>
      </c>
      <c r="B18" s="19">
        <v>7.830899999999999E-2</v>
      </c>
      <c r="C18" s="19">
        <v>4.0809999999999999E-2</v>
      </c>
      <c r="D18" s="19">
        <v>6.480000000000001E-2</v>
      </c>
      <c r="E18" s="19">
        <v>3.4020000000000002E-2</v>
      </c>
      <c r="F18" s="19">
        <v>3.2400000000000005E-2</v>
      </c>
      <c r="G18" s="19">
        <v>0.15957000000000002</v>
      </c>
      <c r="H18" s="19">
        <v>0.11016000000000002</v>
      </c>
      <c r="I18" s="19">
        <v>9.1530000000000014E-2</v>
      </c>
      <c r="J18" s="19">
        <v>0.40905000000000002</v>
      </c>
      <c r="K18" s="19">
        <v>0.29808000000000001</v>
      </c>
      <c r="L18" s="19">
        <v>0.26406000000000002</v>
      </c>
    </row>
    <row r="19" spans="1:12" x14ac:dyDescent="0.25">
      <c r="A19" s="20">
        <v>26</v>
      </c>
      <c r="B19" s="19">
        <v>8.0049199999999987E-2</v>
      </c>
      <c r="C19" s="19">
        <v>4.3119999999999999E-2</v>
      </c>
      <c r="D19" s="19">
        <v>6.7230000000000012E-2</v>
      </c>
      <c r="E19" s="19">
        <v>3.807E-2</v>
      </c>
      <c r="F19" s="19">
        <v>3.2400000000000005E-2</v>
      </c>
      <c r="G19" s="19">
        <v>0.16119000000000003</v>
      </c>
      <c r="H19" s="19">
        <v>0.11097000000000001</v>
      </c>
      <c r="I19" s="19">
        <v>9.2340000000000005E-2</v>
      </c>
      <c r="J19" s="19">
        <v>0.41715000000000002</v>
      </c>
      <c r="K19" s="19">
        <v>0.30294000000000004</v>
      </c>
      <c r="L19" s="19">
        <v>0.26811000000000001</v>
      </c>
    </row>
    <row r="20" spans="1:12" x14ac:dyDescent="0.25">
      <c r="A20" s="20">
        <v>27</v>
      </c>
      <c r="B20" s="19">
        <v>8.2659499999999997E-2</v>
      </c>
      <c r="C20" s="19">
        <v>4.5429999999999998E-2</v>
      </c>
      <c r="D20" s="19">
        <v>7.0470000000000005E-2</v>
      </c>
      <c r="E20" s="19">
        <v>4.1309999999999999E-2</v>
      </c>
      <c r="F20" s="19">
        <v>3.5639999999999998E-2</v>
      </c>
      <c r="G20" s="19">
        <v>0.16362000000000002</v>
      </c>
      <c r="H20" s="19">
        <v>0.11259000000000002</v>
      </c>
      <c r="I20" s="19">
        <v>9.3150000000000011E-2</v>
      </c>
      <c r="J20" s="19">
        <v>0.42606000000000005</v>
      </c>
      <c r="K20" s="19">
        <v>0.30780000000000002</v>
      </c>
      <c r="L20" s="19">
        <v>0.27297000000000005</v>
      </c>
    </row>
    <row r="21" spans="1:12" x14ac:dyDescent="0.25">
      <c r="A21" s="20">
        <v>28</v>
      </c>
      <c r="B21" s="19">
        <v>8.5269799999999993E-2</v>
      </c>
      <c r="C21" s="19">
        <v>4.8510000000000005E-2</v>
      </c>
      <c r="D21" s="19">
        <v>7.3709999999999998E-2</v>
      </c>
      <c r="E21" s="19">
        <v>4.5360000000000004E-2</v>
      </c>
      <c r="F21" s="19">
        <v>3.8880000000000005E-2</v>
      </c>
      <c r="G21" s="19">
        <v>0.16686000000000001</v>
      </c>
      <c r="H21" s="19">
        <v>0.11420999999999999</v>
      </c>
      <c r="I21" s="19">
        <v>9.4770000000000007E-2</v>
      </c>
      <c r="J21" s="19">
        <v>0.43740000000000007</v>
      </c>
      <c r="K21" s="19">
        <v>0.31347000000000003</v>
      </c>
      <c r="L21" s="19">
        <v>0.27864</v>
      </c>
    </row>
    <row r="22" spans="1:12" x14ac:dyDescent="0.25">
      <c r="A22" s="20">
        <v>29</v>
      </c>
      <c r="B22" s="19">
        <v>8.8750199999999987E-2</v>
      </c>
      <c r="C22" s="19">
        <v>5.3900000000000003E-2</v>
      </c>
      <c r="D22" s="19">
        <v>7.6950000000000005E-2</v>
      </c>
      <c r="E22" s="19">
        <v>4.9410000000000003E-2</v>
      </c>
      <c r="F22" s="19">
        <v>4.2119999999999998E-2</v>
      </c>
      <c r="G22" s="19">
        <v>0.1701</v>
      </c>
      <c r="H22" s="19">
        <v>0.11663999999999999</v>
      </c>
      <c r="I22" s="19">
        <v>9.6390000000000003E-2</v>
      </c>
      <c r="J22" s="19">
        <v>0.44955000000000006</v>
      </c>
      <c r="K22" s="19">
        <v>0.31995000000000001</v>
      </c>
      <c r="L22" s="19">
        <v>0.28431000000000001</v>
      </c>
    </row>
    <row r="23" spans="1:12" x14ac:dyDescent="0.25">
      <c r="A23" s="20">
        <v>30</v>
      </c>
      <c r="B23" s="19">
        <v>9.1360499999999997E-2</v>
      </c>
      <c r="C23" s="19">
        <v>5.8520000000000003E-2</v>
      </c>
      <c r="D23" s="19">
        <v>8.1000000000000016E-2</v>
      </c>
      <c r="E23" s="19">
        <v>5.5890000000000009E-2</v>
      </c>
      <c r="F23" s="19">
        <v>4.5360000000000004E-2</v>
      </c>
      <c r="G23" s="19">
        <v>0.17496</v>
      </c>
      <c r="H23" s="19">
        <v>0.11907</v>
      </c>
      <c r="I23" s="19">
        <v>9.8820000000000005E-2</v>
      </c>
      <c r="J23" s="19">
        <v>0.46332000000000001</v>
      </c>
      <c r="K23" s="19">
        <v>0.32805000000000006</v>
      </c>
      <c r="L23" s="19">
        <v>0.29078999999999999</v>
      </c>
    </row>
    <row r="24" spans="1:12" x14ac:dyDescent="0.25">
      <c r="A24" s="20">
        <v>31</v>
      </c>
      <c r="B24" s="19">
        <v>9.4840899999999992E-2</v>
      </c>
      <c r="C24" s="19">
        <v>6.3910000000000008E-2</v>
      </c>
      <c r="D24" s="19">
        <v>8.5050000000000001E-2</v>
      </c>
      <c r="E24" s="19">
        <v>6.0749999999999998E-2</v>
      </c>
      <c r="F24" s="19">
        <v>5.0220000000000001E-2</v>
      </c>
      <c r="G24" s="19">
        <v>0.18144000000000002</v>
      </c>
      <c r="H24" s="19">
        <v>0.12231</v>
      </c>
      <c r="I24" s="19">
        <v>0.10125000000000001</v>
      </c>
      <c r="J24" s="19">
        <v>0.48194999999999999</v>
      </c>
      <c r="K24" s="19">
        <v>0.33857999999999999</v>
      </c>
      <c r="L24" s="19">
        <v>0.30051</v>
      </c>
    </row>
    <row r="25" spans="1:12" x14ac:dyDescent="0.25">
      <c r="A25" s="20">
        <v>32</v>
      </c>
      <c r="B25" s="19">
        <v>9.9191399999999999E-2</v>
      </c>
      <c r="C25" s="19">
        <v>7.1610000000000007E-2</v>
      </c>
      <c r="D25" s="19">
        <v>8.9100000000000013E-2</v>
      </c>
      <c r="E25" s="19">
        <v>6.7230000000000012E-2</v>
      </c>
      <c r="F25" s="19">
        <v>5.5890000000000009E-2</v>
      </c>
      <c r="G25" s="19">
        <v>0.18792000000000003</v>
      </c>
      <c r="H25" s="19">
        <v>0.12636</v>
      </c>
      <c r="I25" s="19">
        <v>0.10449000000000001</v>
      </c>
      <c r="J25" s="19">
        <v>0.50219999999999998</v>
      </c>
      <c r="K25" s="19">
        <v>0.35073000000000004</v>
      </c>
      <c r="L25" s="19">
        <v>0.31104000000000004</v>
      </c>
    </row>
    <row r="26" spans="1:12" x14ac:dyDescent="0.25">
      <c r="A26" s="20">
        <v>33</v>
      </c>
      <c r="B26" s="19">
        <v>0.10354189999999999</v>
      </c>
      <c r="C26" s="19">
        <v>7.9309999999999992E-2</v>
      </c>
      <c r="D26" s="19">
        <v>9.4770000000000007E-2</v>
      </c>
      <c r="E26" s="19">
        <v>7.2900000000000006E-2</v>
      </c>
      <c r="F26" s="19">
        <v>6.0749999999999998E-2</v>
      </c>
      <c r="G26" s="19">
        <v>0.19602</v>
      </c>
      <c r="H26" s="19">
        <v>0.13122</v>
      </c>
      <c r="I26" s="19">
        <v>0.10854000000000001</v>
      </c>
      <c r="J26" s="19">
        <v>0.52488000000000001</v>
      </c>
      <c r="K26" s="19">
        <v>0.36531000000000002</v>
      </c>
      <c r="L26" s="19">
        <v>0.32319000000000003</v>
      </c>
    </row>
    <row r="27" spans="1:12" x14ac:dyDescent="0.25">
      <c r="A27" s="20">
        <v>34</v>
      </c>
      <c r="B27" s="19">
        <v>0.10789239999999999</v>
      </c>
      <c r="C27" s="19">
        <v>8.8550000000000004E-2</v>
      </c>
      <c r="D27" s="19">
        <v>9.963000000000001E-2</v>
      </c>
      <c r="E27" s="19">
        <v>7.9380000000000006E-2</v>
      </c>
      <c r="F27" s="19">
        <v>6.7230000000000012E-2</v>
      </c>
      <c r="G27" s="19">
        <v>0.20574000000000001</v>
      </c>
      <c r="H27" s="19">
        <v>0.13770000000000002</v>
      </c>
      <c r="I27" s="19">
        <v>0.11420999999999999</v>
      </c>
      <c r="J27" s="19">
        <v>0.55242000000000002</v>
      </c>
      <c r="K27" s="19">
        <v>0.38313000000000003</v>
      </c>
      <c r="L27" s="19">
        <v>0.33939000000000002</v>
      </c>
    </row>
    <row r="28" spans="1:12" x14ac:dyDescent="0.25">
      <c r="A28" s="20">
        <v>35</v>
      </c>
      <c r="B28" s="19">
        <v>0.11398309999999999</v>
      </c>
      <c r="C28" s="19">
        <v>9.7790000000000002E-2</v>
      </c>
      <c r="D28" s="19">
        <v>0.1053</v>
      </c>
      <c r="E28" s="19">
        <v>8.5860000000000006E-2</v>
      </c>
      <c r="F28" s="19">
        <v>7.2900000000000006E-2</v>
      </c>
      <c r="G28" s="19">
        <v>0.21627000000000002</v>
      </c>
      <c r="H28" s="19">
        <v>0.14418</v>
      </c>
      <c r="I28" s="19">
        <v>0.11988</v>
      </c>
      <c r="J28" s="19">
        <v>0.58157999999999999</v>
      </c>
      <c r="K28" s="19">
        <v>0.40257000000000004</v>
      </c>
      <c r="L28" s="19">
        <v>0.35721000000000003</v>
      </c>
    </row>
    <row r="29" spans="1:12" x14ac:dyDescent="0.25">
      <c r="A29" s="20">
        <v>36</v>
      </c>
      <c r="B29" s="19">
        <v>0.12007379999999999</v>
      </c>
      <c r="C29" s="19">
        <v>0.10933999999999999</v>
      </c>
      <c r="D29" s="19">
        <v>0.11178000000000002</v>
      </c>
      <c r="E29" s="19">
        <v>9.2340000000000005E-2</v>
      </c>
      <c r="F29" s="19">
        <v>7.776000000000001E-2</v>
      </c>
      <c r="G29" s="19">
        <v>0.22761000000000003</v>
      </c>
      <c r="H29" s="19">
        <v>0.15228</v>
      </c>
      <c r="I29" s="19">
        <v>0.12636</v>
      </c>
      <c r="J29" s="19">
        <v>0.61236000000000002</v>
      </c>
      <c r="K29" s="19">
        <v>0.42444000000000004</v>
      </c>
      <c r="L29" s="19">
        <v>0.37584000000000006</v>
      </c>
    </row>
    <row r="30" spans="1:12" x14ac:dyDescent="0.25">
      <c r="A30" s="20">
        <v>37</v>
      </c>
      <c r="B30" s="19">
        <v>0.12703459999999997</v>
      </c>
      <c r="C30" s="19">
        <v>0.12089</v>
      </c>
      <c r="D30" s="19">
        <v>0.11826</v>
      </c>
      <c r="E30" s="19">
        <v>9.8820000000000005E-2</v>
      </c>
      <c r="F30" s="19">
        <v>8.2619999999999999E-2</v>
      </c>
      <c r="G30" s="19">
        <v>0.24057000000000001</v>
      </c>
      <c r="H30" s="19">
        <v>0.16200000000000003</v>
      </c>
      <c r="I30" s="19">
        <v>0.13446000000000002</v>
      </c>
      <c r="J30" s="19">
        <v>0.64476000000000011</v>
      </c>
      <c r="K30" s="19">
        <v>0.44874000000000008</v>
      </c>
      <c r="L30" s="19">
        <v>0.39771000000000001</v>
      </c>
    </row>
    <row r="31" spans="1:12" x14ac:dyDescent="0.25">
      <c r="A31" s="20">
        <v>38</v>
      </c>
      <c r="B31" s="19">
        <v>0.13486549999999997</v>
      </c>
      <c r="C31" s="19">
        <v>0.13397999999999999</v>
      </c>
      <c r="D31" s="19">
        <v>0.12554999999999999</v>
      </c>
      <c r="E31" s="19">
        <v>0.10611000000000001</v>
      </c>
      <c r="F31" s="19">
        <v>8.7480000000000002E-2</v>
      </c>
      <c r="G31" s="19">
        <v>0.25515000000000004</v>
      </c>
      <c r="H31" s="19">
        <v>0.17253000000000002</v>
      </c>
      <c r="I31" s="19">
        <v>0.14337</v>
      </c>
      <c r="J31" s="19">
        <v>0.67959000000000003</v>
      </c>
      <c r="K31" s="19">
        <v>0.47466000000000003</v>
      </c>
      <c r="L31" s="19">
        <v>0.42120000000000002</v>
      </c>
    </row>
    <row r="32" spans="1:12" x14ac:dyDescent="0.25">
      <c r="A32" s="20">
        <v>39</v>
      </c>
      <c r="B32" s="19">
        <v>0.1426964</v>
      </c>
      <c r="C32" s="19">
        <v>0.14938000000000001</v>
      </c>
      <c r="D32" s="19">
        <v>0.13365000000000002</v>
      </c>
      <c r="E32" s="19">
        <v>0.11340000000000001</v>
      </c>
      <c r="F32" s="19">
        <v>9.4770000000000007E-2</v>
      </c>
      <c r="G32" s="19">
        <v>0.27135000000000004</v>
      </c>
      <c r="H32" s="19">
        <v>0.18468000000000001</v>
      </c>
      <c r="I32" s="19">
        <v>0.15390000000000001</v>
      </c>
      <c r="J32" s="19">
        <v>0.71604000000000001</v>
      </c>
      <c r="K32" s="19">
        <v>0.50301000000000007</v>
      </c>
      <c r="L32" s="19">
        <v>0.44631000000000004</v>
      </c>
    </row>
    <row r="33" spans="1:12" x14ac:dyDescent="0.25">
      <c r="A33" s="20">
        <v>40</v>
      </c>
      <c r="B33" s="19">
        <v>0.15313759999999998</v>
      </c>
      <c r="C33" s="19">
        <v>0.16555</v>
      </c>
      <c r="D33" s="19">
        <v>0.14174999999999999</v>
      </c>
      <c r="E33" s="19">
        <v>0.12231</v>
      </c>
      <c r="F33" s="19">
        <v>0.10125000000000001</v>
      </c>
      <c r="G33" s="19">
        <v>0.28836000000000001</v>
      </c>
      <c r="H33" s="19">
        <v>0.19926000000000002</v>
      </c>
      <c r="I33" s="19">
        <v>0.16524</v>
      </c>
      <c r="J33" s="19">
        <v>0.75411000000000006</v>
      </c>
      <c r="K33" s="19">
        <v>0.53460000000000008</v>
      </c>
      <c r="L33" s="19">
        <v>0.47384999999999999</v>
      </c>
    </row>
    <row r="34" spans="1:12" x14ac:dyDescent="0.25">
      <c r="A34" s="20">
        <v>41</v>
      </c>
      <c r="B34" s="19">
        <v>0.16270869999999998</v>
      </c>
      <c r="C34" s="19">
        <v>0.18403</v>
      </c>
      <c r="D34" s="19">
        <v>0.15147000000000002</v>
      </c>
      <c r="E34" s="19">
        <v>0.13041</v>
      </c>
      <c r="F34" s="19">
        <v>0.10935000000000002</v>
      </c>
      <c r="G34" s="19">
        <v>0.30780000000000002</v>
      </c>
      <c r="H34" s="19">
        <v>0.21465000000000004</v>
      </c>
      <c r="I34" s="19">
        <v>0.17820000000000003</v>
      </c>
      <c r="J34" s="19">
        <v>0.79380000000000006</v>
      </c>
      <c r="K34" s="19">
        <v>0.56862000000000001</v>
      </c>
      <c r="L34" s="19">
        <v>0.50382000000000005</v>
      </c>
    </row>
    <row r="35" spans="1:12" x14ac:dyDescent="0.25">
      <c r="A35" s="20">
        <v>42</v>
      </c>
      <c r="B35" s="19">
        <v>0.17402000000000001</v>
      </c>
      <c r="C35" s="19">
        <v>0.20405000000000001</v>
      </c>
      <c r="D35" s="19">
        <v>0.16119000000000003</v>
      </c>
      <c r="E35" s="19">
        <v>0.14013</v>
      </c>
      <c r="F35" s="19">
        <v>0.11663999999999999</v>
      </c>
      <c r="G35" s="19">
        <v>0.32886000000000004</v>
      </c>
      <c r="H35" s="19">
        <v>0.23247000000000001</v>
      </c>
      <c r="I35" s="19">
        <v>0.19278000000000001</v>
      </c>
      <c r="J35" s="19">
        <v>0.83592000000000011</v>
      </c>
      <c r="K35" s="19">
        <v>0.60426000000000002</v>
      </c>
      <c r="L35" s="19">
        <v>0.53622000000000003</v>
      </c>
    </row>
    <row r="36" spans="1:12" x14ac:dyDescent="0.25">
      <c r="A36" s="20">
        <v>43</v>
      </c>
      <c r="B36" s="19">
        <v>0.18707149999999997</v>
      </c>
      <c r="C36" s="19">
        <v>0.22714999999999999</v>
      </c>
      <c r="D36" s="19">
        <v>0.17172000000000001</v>
      </c>
      <c r="E36" s="19">
        <v>0.15066000000000002</v>
      </c>
      <c r="F36" s="19">
        <v>0.12474</v>
      </c>
      <c r="G36" s="19">
        <v>0.35235</v>
      </c>
      <c r="H36" s="19">
        <v>0.25191000000000002</v>
      </c>
      <c r="I36" s="19">
        <v>0.20898000000000003</v>
      </c>
      <c r="J36" s="19">
        <v>0.87804000000000015</v>
      </c>
      <c r="K36" s="19">
        <v>0.64233000000000007</v>
      </c>
      <c r="L36" s="19">
        <v>0.56942999999999999</v>
      </c>
    </row>
    <row r="37" spans="1:12" x14ac:dyDescent="0.25">
      <c r="A37" s="20">
        <v>44</v>
      </c>
      <c r="B37" s="19">
        <v>0.20273330000000001</v>
      </c>
      <c r="C37" s="19">
        <v>0.25256000000000001</v>
      </c>
      <c r="D37" s="19">
        <v>0.18306000000000003</v>
      </c>
      <c r="E37" s="19">
        <v>0.16038000000000002</v>
      </c>
      <c r="F37" s="19">
        <v>0.13527000000000003</v>
      </c>
      <c r="G37" s="19">
        <v>0.37827000000000005</v>
      </c>
      <c r="H37" s="19">
        <v>0.27459000000000006</v>
      </c>
      <c r="I37" s="19">
        <v>0.22761000000000003</v>
      </c>
      <c r="J37" s="19">
        <v>0.92259000000000002</v>
      </c>
      <c r="K37" s="19">
        <v>0.68283000000000005</v>
      </c>
      <c r="L37" s="19">
        <v>0.60507</v>
      </c>
    </row>
    <row r="38" spans="1:12" x14ac:dyDescent="0.25">
      <c r="A38" s="20">
        <v>45</v>
      </c>
      <c r="B38" s="19">
        <v>0.21839509999999998</v>
      </c>
      <c r="C38" s="19">
        <v>0.27950999999999998</v>
      </c>
      <c r="D38" s="19">
        <v>0.19520999999999999</v>
      </c>
      <c r="E38" s="19">
        <v>0.17172000000000001</v>
      </c>
      <c r="F38" s="19">
        <v>0.14337</v>
      </c>
      <c r="G38" s="19">
        <v>0.40581</v>
      </c>
      <c r="H38" s="19">
        <v>0.29888999999999999</v>
      </c>
      <c r="I38" s="19">
        <v>0.24786000000000002</v>
      </c>
      <c r="J38" s="19">
        <v>0.96714</v>
      </c>
      <c r="K38" s="19">
        <v>0.72576000000000007</v>
      </c>
      <c r="L38" s="19">
        <v>0.64314000000000004</v>
      </c>
    </row>
    <row r="39" spans="1:12" x14ac:dyDescent="0.25">
      <c r="A39" s="20">
        <v>46</v>
      </c>
      <c r="B39" s="19">
        <v>0.23579710000000001</v>
      </c>
      <c r="C39" s="19">
        <v>0.31108000000000002</v>
      </c>
      <c r="D39" s="19">
        <v>0.20898000000000003</v>
      </c>
      <c r="E39" s="19">
        <v>0.18468000000000001</v>
      </c>
      <c r="F39" s="19">
        <v>0.15309</v>
      </c>
      <c r="G39" s="19">
        <v>0.43740000000000007</v>
      </c>
      <c r="H39" s="19">
        <v>0.32643000000000005</v>
      </c>
      <c r="I39" s="19">
        <v>0.27054000000000006</v>
      </c>
      <c r="J39" s="19">
        <v>1.0133099999999999</v>
      </c>
      <c r="K39" s="19">
        <v>0.76868999999999998</v>
      </c>
      <c r="L39" s="19">
        <v>0.68120999999999998</v>
      </c>
    </row>
    <row r="40" spans="1:12" x14ac:dyDescent="0.25">
      <c r="A40" s="20">
        <v>47</v>
      </c>
      <c r="B40" s="19">
        <v>0.25667949999999995</v>
      </c>
      <c r="C40" s="19">
        <v>0.34573000000000004</v>
      </c>
      <c r="D40" s="19">
        <v>0.22356000000000004</v>
      </c>
      <c r="E40" s="19">
        <v>0.19683</v>
      </c>
      <c r="F40" s="19">
        <v>0.16362000000000002</v>
      </c>
      <c r="G40" s="19">
        <v>0.47142000000000001</v>
      </c>
      <c r="H40" s="19">
        <v>0.35640000000000005</v>
      </c>
      <c r="I40" s="19">
        <v>0.29565000000000002</v>
      </c>
      <c r="J40" s="19">
        <v>1.0594800000000002</v>
      </c>
      <c r="K40" s="19">
        <v>0.81324000000000007</v>
      </c>
      <c r="L40" s="19">
        <v>0.7209000000000001</v>
      </c>
    </row>
    <row r="41" spans="1:12" x14ac:dyDescent="0.25">
      <c r="A41" s="20">
        <v>48</v>
      </c>
      <c r="B41" s="19">
        <v>0.2793021</v>
      </c>
      <c r="C41" s="19">
        <v>0.38346000000000002</v>
      </c>
      <c r="D41" s="19">
        <v>0.23895</v>
      </c>
      <c r="E41" s="19">
        <v>0.20979000000000003</v>
      </c>
      <c r="F41" s="19">
        <v>0.17577000000000001</v>
      </c>
      <c r="G41" s="19">
        <v>0.50868000000000002</v>
      </c>
      <c r="H41" s="19">
        <v>0.38961000000000001</v>
      </c>
      <c r="I41" s="19">
        <v>0.32319000000000003</v>
      </c>
      <c r="J41" s="19">
        <v>1.10484</v>
      </c>
      <c r="K41" s="19">
        <v>0.85860000000000014</v>
      </c>
      <c r="L41" s="19">
        <v>0.76058999999999999</v>
      </c>
    </row>
    <row r="42" spans="1:12" x14ac:dyDescent="0.25">
      <c r="A42" s="20">
        <v>49</v>
      </c>
      <c r="B42" s="19">
        <v>0.30540509999999998</v>
      </c>
      <c r="C42" s="19">
        <v>0.42658000000000007</v>
      </c>
      <c r="D42" s="19">
        <v>0.25596000000000002</v>
      </c>
      <c r="E42" s="19">
        <v>0.22518000000000005</v>
      </c>
      <c r="F42" s="19">
        <v>0.18711000000000003</v>
      </c>
      <c r="G42" s="19">
        <v>0.54918000000000011</v>
      </c>
      <c r="H42" s="19">
        <v>0.42606000000000005</v>
      </c>
      <c r="I42" s="19">
        <v>0.35397000000000001</v>
      </c>
      <c r="J42" s="19">
        <v>1.1493900000000001</v>
      </c>
      <c r="K42" s="19">
        <v>0.90234000000000014</v>
      </c>
      <c r="L42" s="19">
        <v>0.79947000000000001</v>
      </c>
    </row>
    <row r="43" spans="1:12" x14ac:dyDescent="0.25">
      <c r="A43" s="20">
        <v>50</v>
      </c>
      <c r="B43" s="19">
        <v>0.33411839999999998</v>
      </c>
      <c r="C43" s="19">
        <v>0.47432000000000002</v>
      </c>
      <c r="D43" s="19">
        <v>0.27459000000000006</v>
      </c>
      <c r="E43" s="19">
        <v>0.23976</v>
      </c>
      <c r="F43" s="19">
        <v>0.22113000000000002</v>
      </c>
      <c r="G43" s="19">
        <v>0.59454000000000007</v>
      </c>
      <c r="H43" s="19">
        <v>0.46655999999999997</v>
      </c>
      <c r="I43" s="19">
        <v>0.38718000000000002</v>
      </c>
      <c r="J43" s="19">
        <v>1.1915100000000001</v>
      </c>
      <c r="K43" s="19">
        <v>0.94445999999999997</v>
      </c>
      <c r="L43" s="19">
        <v>0.83754000000000006</v>
      </c>
    </row>
    <row r="44" spans="1:12" x14ac:dyDescent="0.25">
      <c r="A44" s="20">
        <v>51</v>
      </c>
      <c r="B44" s="19">
        <v>0.36631209999999997</v>
      </c>
      <c r="C44" s="19">
        <v>0.5259100000000001</v>
      </c>
      <c r="D44" s="19">
        <v>0.29403000000000001</v>
      </c>
      <c r="E44" s="19">
        <v>0.25677</v>
      </c>
      <c r="F44" s="19">
        <v>0.22599000000000002</v>
      </c>
      <c r="G44" s="19">
        <v>0.64314000000000004</v>
      </c>
      <c r="H44" s="19">
        <v>0.51030000000000009</v>
      </c>
      <c r="I44" s="19">
        <v>0.42363000000000006</v>
      </c>
      <c r="J44" s="19">
        <v>1.2312000000000001</v>
      </c>
      <c r="K44" s="19">
        <v>0.98415000000000008</v>
      </c>
      <c r="L44" s="19">
        <v>0.87236999999999998</v>
      </c>
    </row>
    <row r="45" spans="1:12" x14ac:dyDescent="0.25">
      <c r="A45" s="20">
        <v>52</v>
      </c>
      <c r="B45" s="19">
        <v>0.40372639999999999</v>
      </c>
      <c r="C45" s="19">
        <v>0.58443000000000001</v>
      </c>
      <c r="D45" s="19">
        <v>0.31590000000000001</v>
      </c>
      <c r="E45" s="19">
        <v>0.27459000000000006</v>
      </c>
      <c r="F45" s="19">
        <v>0.23085</v>
      </c>
      <c r="G45" s="19">
        <v>0.6966</v>
      </c>
      <c r="H45" s="19">
        <v>0.55728</v>
      </c>
      <c r="I45" s="19">
        <v>0.46250999999999998</v>
      </c>
      <c r="J45" s="19">
        <v>1.2668400000000002</v>
      </c>
      <c r="K45" s="19">
        <v>1.01979</v>
      </c>
      <c r="L45" s="19">
        <v>0.9039600000000001</v>
      </c>
    </row>
    <row r="46" spans="1:12" x14ac:dyDescent="0.25">
      <c r="A46" s="20">
        <v>53</v>
      </c>
      <c r="B46" s="19">
        <v>0.44549119999999998</v>
      </c>
      <c r="C46" s="19">
        <v>0.65449999999999997</v>
      </c>
      <c r="D46" s="19">
        <v>0.33857999999999999</v>
      </c>
      <c r="E46" s="19">
        <v>0.29322000000000004</v>
      </c>
      <c r="F46" s="19">
        <v>0.24462</v>
      </c>
      <c r="G46" s="19">
        <v>0.75492000000000004</v>
      </c>
      <c r="H46" s="19">
        <v>0.60831000000000002</v>
      </c>
      <c r="I46" s="19">
        <v>0.50463000000000002</v>
      </c>
      <c r="J46" s="19">
        <v>1.29681</v>
      </c>
      <c r="K46" s="19">
        <v>1.04976</v>
      </c>
      <c r="L46" s="19">
        <v>0.92988000000000004</v>
      </c>
    </row>
    <row r="47" spans="1:12" x14ac:dyDescent="0.25">
      <c r="A47" s="20">
        <v>54</v>
      </c>
      <c r="B47" s="19">
        <v>0.49334669999999992</v>
      </c>
      <c r="C47" s="19">
        <v>0.73919999999999997</v>
      </c>
      <c r="D47" s="19">
        <v>0.36369000000000001</v>
      </c>
      <c r="E47" s="19">
        <v>0.31347000000000003</v>
      </c>
      <c r="F47" s="19">
        <v>0.26163000000000003</v>
      </c>
      <c r="G47" s="19">
        <v>0.81891000000000003</v>
      </c>
      <c r="H47" s="19">
        <v>0.66420000000000001</v>
      </c>
      <c r="I47" s="19">
        <v>0.55080000000000007</v>
      </c>
      <c r="J47" s="19">
        <v>1.3194900000000001</v>
      </c>
      <c r="K47" s="19">
        <v>1.0716300000000001</v>
      </c>
      <c r="L47" s="19">
        <v>0.95013000000000014</v>
      </c>
    </row>
    <row r="48" spans="1:12" x14ac:dyDescent="0.25">
      <c r="A48" s="20">
        <v>55</v>
      </c>
      <c r="B48" s="19">
        <v>0.54642279999999999</v>
      </c>
      <c r="C48" s="19">
        <v>0.84160999999999997</v>
      </c>
      <c r="D48" s="19">
        <v>0.39123000000000002</v>
      </c>
      <c r="E48" s="19">
        <v>0.33452999999999999</v>
      </c>
      <c r="F48" s="19">
        <v>0.28026000000000001</v>
      </c>
      <c r="G48" s="19">
        <v>0.8877600000000001</v>
      </c>
      <c r="H48" s="19">
        <v>0.72333000000000003</v>
      </c>
      <c r="I48" s="19">
        <v>0.60021000000000002</v>
      </c>
      <c r="J48" s="19">
        <v>1.3324500000000001</v>
      </c>
      <c r="K48" s="19">
        <v>1.0854000000000001</v>
      </c>
      <c r="L48" s="19">
        <v>0.96228000000000002</v>
      </c>
    </row>
    <row r="49" spans="1:12" x14ac:dyDescent="0.25">
      <c r="A49" s="20">
        <v>56</v>
      </c>
      <c r="B49" s="19">
        <v>0.60732979999999992</v>
      </c>
      <c r="C49" s="19">
        <v>0.96480999999999995</v>
      </c>
      <c r="D49" s="19">
        <v>0.42039000000000004</v>
      </c>
      <c r="E49" s="19">
        <v>0.35640000000000005</v>
      </c>
      <c r="F49" s="19">
        <v>0.29646</v>
      </c>
      <c r="G49" s="19">
        <v>0.96389999999999998</v>
      </c>
      <c r="H49" s="19">
        <v>0.78732000000000002</v>
      </c>
      <c r="I49" s="19">
        <v>0.65367000000000008</v>
      </c>
      <c r="J49" s="19">
        <v>1.3348800000000001</v>
      </c>
      <c r="K49" s="19">
        <v>1.0878300000000001</v>
      </c>
      <c r="L49" s="19">
        <v>0.96389999999999998</v>
      </c>
    </row>
    <row r="50" spans="1:12" x14ac:dyDescent="0.25">
      <c r="A50" s="20">
        <v>57</v>
      </c>
      <c r="B50" s="19">
        <v>0.67780790000000002</v>
      </c>
      <c r="C50" s="19">
        <v>1.10649</v>
      </c>
      <c r="D50" s="19">
        <v>0.45198000000000005</v>
      </c>
      <c r="E50" s="19">
        <v>0.38069999999999998</v>
      </c>
      <c r="F50" s="19">
        <v>0.31671000000000005</v>
      </c>
      <c r="G50" s="19">
        <v>1.0465200000000001</v>
      </c>
      <c r="H50" s="19">
        <v>0.85698000000000008</v>
      </c>
      <c r="I50" s="19">
        <v>0.71037000000000006</v>
      </c>
      <c r="J50" s="19">
        <v>1.3235399999999999</v>
      </c>
      <c r="K50" s="19">
        <v>1.0764899999999999</v>
      </c>
      <c r="L50" s="19">
        <v>0.95418000000000003</v>
      </c>
    </row>
    <row r="51" spans="1:12" x14ac:dyDescent="0.25">
      <c r="A51" s="20">
        <v>58</v>
      </c>
      <c r="B51" s="19">
        <v>0.75785709999999995</v>
      </c>
      <c r="C51" s="19">
        <v>1.26126</v>
      </c>
      <c r="D51" s="19">
        <v>0.48599999999999999</v>
      </c>
      <c r="E51" s="19">
        <v>0.40581</v>
      </c>
      <c r="F51" s="19">
        <v>0.33857999999999999</v>
      </c>
      <c r="G51" s="19">
        <v>1.1404799999999999</v>
      </c>
      <c r="H51" s="19">
        <v>0.93311999999999995</v>
      </c>
      <c r="I51" s="19">
        <v>0.77436000000000005</v>
      </c>
      <c r="J51" s="19">
        <v>1.29843</v>
      </c>
      <c r="K51" s="19">
        <v>1.05219</v>
      </c>
      <c r="L51" s="19">
        <v>0.93231000000000008</v>
      </c>
    </row>
    <row r="52" spans="1:12" x14ac:dyDescent="0.25">
      <c r="A52" s="20">
        <v>59</v>
      </c>
      <c r="B52" s="19">
        <v>0.85008769999999989</v>
      </c>
      <c r="C52" s="19">
        <v>1.4553</v>
      </c>
      <c r="D52" s="19">
        <v>0.52326000000000006</v>
      </c>
      <c r="E52" s="19">
        <v>0.43254000000000004</v>
      </c>
      <c r="F52" s="19">
        <v>0.36126000000000003</v>
      </c>
      <c r="G52" s="19">
        <v>1.2425400000000002</v>
      </c>
      <c r="H52" s="19">
        <v>1.0149299999999999</v>
      </c>
      <c r="I52" s="19">
        <v>0.84240000000000004</v>
      </c>
      <c r="J52" s="19">
        <v>1.2530700000000001</v>
      </c>
      <c r="K52" s="19">
        <v>1.00926</v>
      </c>
      <c r="L52" s="19">
        <v>0.89505000000000001</v>
      </c>
    </row>
    <row r="53" spans="1:12" x14ac:dyDescent="0.25">
      <c r="A53" s="20">
        <v>60</v>
      </c>
      <c r="B53" s="19">
        <v>0.95449969999999995</v>
      </c>
      <c r="C53" s="19">
        <v>1.5307600000000001</v>
      </c>
      <c r="D53" s="19">
        <v>0.56376000000000004</v>
      </c>
      <c r="E53" s="19">
        <v>0.46088999999999997</v>
      </c>
      <c r="F53" s="19">
        <v>0.38474999999999998</v>
      </c>
      <c r="G53" s="19">
        <v>1.2976200000000002</v>
      </c>
      <c r="H53" s="19">
        <v>1.0368000000000002</v>
      </c>
      <c r="I53" s="19">
        <v>0.8602200000000001</v>
      </c>
      <c r="J53" s="19">
        <v>1.1826000000000001</v>
      </c>
      <c r="K53" s="19">
        <v>0.94527000000000005</v>
      </c>
      <c r="L53" s="19">
        <v>0.83754000000000006</v>
      </c>
    </row>
    <row r="54" spans="1:12" x14ac:dyDescent="0.25">
      <c r="A54" s="20">
        <v>61</v>
      </c>
      <c r="B54" s="19">
        <v>1.0763137</v>
      </c>
      <c r="C54" s="19">
        <v>1.8526200000000002</v>
      </c>
      <c r="D54" s="19">
        <v>0.60750000000000004</v>
      </c>
      <c r="E54" s="19">
        <v>0.49167</v>
      </c>
      <c r="F54" s="19">
        <v>0.40986000000000006</v>
      </c>
      <c r="G54" s="19">
        <v>1.18746</v>
      </c>
      <c r="H54" s="19">
        <v>0.93798000000000004</v>
      </c>
      <c r="I54" s="19">
        <v>0.77841000000000005</v>
      </c>
      <c r="J54" s="19">
        <v>1.08297</v>
      </c>
      <c r="K54" s="19">
        <v>0.85455000000000003</v>
      </c>
      <c r="L54" s="19">
        <v>0.75816000000000006</v>
      </c>
    </row>
    <row r="55" spans="1:12" x14ac:dyDescent="0.25">
      <c r="A55" s="20">
        <v>62</v>
      </c>
      <c r="B55" s="19">
        <v>1.2155296999999998</v>
      </c>
      <c r="C55" s="19">
        <v>2.1968100000000002</v>
      </c>
      <c r="D55" s="19">
        <v>0.65529000000000004</v>
      </c>
      <c r="E55" s="19">
        <v>0.52326000000000006</v>
      </c>
      <c r="F55" s="19">
        <v>0.43659000000000003</v>
      </c>
      <c r="G55" s="19">
        <v>1.0376099999999999</v>
      </c>
      <c r="H55" s="19">
        <v>0.80514000000000008</v>
      </c>
      <c r="I55" s="19">
        <v>0.66825000000000001</v>
      </c>
      <c r="J55" s="19">
        <v>0.94608000000000003</v>
      </c>
      <c r="K55" s="19">
        <v>0.73386000000000007</v>
      </c>
      <c r="L55" s="19">
        <v>0.65043000000000006</v>
      </c>
    </row>
    <row r="56" spans="1:12" x14ac:dyDescent="0.25">
      <c r="A56" s="20">
        <v>63</v>
      </c>
      <c r="B56" s="19">
        <v>1.3269024999999999</v>
      </c>
      <c r="C56" s="19">
        <v>2.5202100000000001</v>
      </c>
      <c r="D56" s="19">
        <v>0.70632000000000006</v>
      </c>
      <c r="E56" s="19">
        <v>0.55728</v>
      </c>
      <c r="F56" s="19">
        <v>0.47709000000000001</v>
      </c>
      <c r="G56" s="19">
        <v>0.83024999999999993</v>
      </c>
      <c r="H56" s="19">
        <v>0.62694000000000005</v>
      </c>
      <c r="I56" s="19">
        <v>0.52002000000000004</v>
      </c>
      <c r="J56" s="19">
        <v>0.7565400000000001</v>
      </c>
      <c r="K56" s="19">
        <v>0.57186000000000003</v>
      </c>
      <c r="L56" s="19">
        <v>0.50625000000000009</v>
      </c>
    </row>
    <row r="57" spans="1:12" x14ac:dyDescent="0.25">
      <c r="A57" s="20">
        <v>64</v>
      </c>
      <c r="B57" s="19">
        <v>1.3799786000000001</v>
      </c>
      <c r="C57" s="19">
        <v>2.8905799999999999</v>
      </c>
      <c r="D57" s="19">
        <v>0.76221000000000005</v>
      </c>
      <c r="E57" s="19">
        <v>0.59372999999999998</v>
      </c>
      <c r="F57" s="19">
        <v>0.49410000000000004</v>
      </c>
      <c r="G57" s="19">
        <v>0.52731000000000006</v>
      </c>
      <c r="H57" s="19">
        <v>0.37422000000000005</v>
      </c>
      <c r="I57" s="19">
        <v>0.31023000000000001</v>
      </c>
      <c r="J57" s="19">
        <v>0.48033000000000003</v>
      </c>
      <c r="K57" s="19">
        <v>0.34101000000000004</v>
      </c>
      <c r="L57" s="19">
        <v>0.30213000000000001</v>
      </c>
    </row>
    <row r="58" spans="1:12" x14ac:dyDescent="0.25">
      <c r="A58" s="20">
        <v>65</v>
      </c>
      <c r="B58" s="19">
        <v>1.4339247999999998</v>
      </c>
      <c r="C58" s="19">
        <v>0</v>
      </c>
      <c r="D58" s="19">
        <v>0.82296000000000002</v>
      </c>
      <c r="E58" s="19">
        <v>0.63180000000000003</v>
      </c>
      <c r="F58" s="19">
        <v>0.53946000000000005</v>
      </c>
      <c r="G58" s="19">
        <v>0</v>
      </c>
      <c r="H58" s="19">
        <v>0</v>
      </c>
      <c r="I58" s="19">
        <v>0</v>
      </c>
      <c r="J58" s="19">
        <v>0</v>
      </c>
      <c r="K58" s="19">
        <v>0</v>
      </c>
      <c r="L58" s="19">
        <v>0</v>
      </c>
    </row>
    <row r="59" spans="1:12" x14ac:dyDescent="0.25">
      <c r="A59" s="20">
        <v>66</v>
      </c>
      <c r="B59" s="19">
        <v>1.4870009</v>
      </c>
      <c r="C59" s="19">
        <v>0</v>
      </c>
      <c r="D59" s="19">
        <v>0.88857000000000008</v>
      </c>
      <c r="E59" s="19">
        <v>0.67230000000000001</v>
      </c>
      <c r="F59" s="19">
        <v>0.55971000000000004</v>
      </c>
      <c r="G59" s="19">
        <v>0</v>
      </c>
      <c r="H59" s="19">
        <v>0</v>
      </c>
      <c r="I59" s="19">
        <v>0</v>
      </c>
      <c r="J59" s="19">
        <v>0</v>
      </c>
      <c r="K59" s="19">
        <v>0</v>
      </c>
      <c r="L59" s="19">
        <v>0</v>
      </c>
    </row>
    <row r="60" spans="1:12" x14ac:dyDescent="0.25">
      <c r="A60" s="20">
        <v>67</v>
      </c>
      <c r="B60" s="19">
        <v>1.5409470999999997</v>
      </c>
      <c r="C60" s="19">
        <v>0</v>
      </c>
      <c r="D60" s="19">
        <v>0.95985000000000009</v>
      </c>
      <c r="E60" s="19">
        <v>0.71523000000000003</v>
      </c>
      <c r="F60" s="19">
        <v>0.59697</v>
      </c>
      <c r="G60" s="19">
        <v>0</v>
      </c>
      <c r="H60" s="19">
        <v>0</v>
      </c>
      <c r="I60" s="19">
        <v>0</v>
      </c>
      <c r="J60" s="19">
        <v>0</v>
      </c>
      <c r="K60" s="19">
        <v>0</v>
      </c>
      <c r="L60" s="19">
        <v>0</v>
      </c>
    </row>
    <row r="61" spans="1:12" x14ac:dyDescent="0.25">
      <c r="A61" s="20">
        <v>68</v>
      </c>
      <c r="B61" s="19">
        <v>1.5948932999999998</v>
      </c>
      <c r="C61" s="19">
        <v>0</v>
      </c>
      <c r="D61" s="19">
        <v>0.96957000000000015</v>
      </c>
      <c r="E61" s="19">
        <v>0.72252000000000005</v>
      </c>
      <c r="F61" s="19">
        <v>0.60183000000000009</v>
      </c>
      <c r="G61" s="19">
        <v>0</v>
      </c>
      <c r="H61" s="19">
        <v>0</v>
      </c>
      <c r="I61" s="19">
        <v>0</v>
      </c>
      <c r="J61" s="19">
        <v>0</v>
      </c>
      <c r="K61" s="19">
        <v>0</v>
      </c>
      <c r="L61" s="19">
        <v>0</v>
      </c>
    </row>
    <row r="62" spans="1:12" x14ac:dyDescent="0.25">
      <c r="A62" s="20">
        <v>69</v>
      </c>
      <c r="B62" s="19">
        <v>1.6479693999999998</v>
      </c>
      <c r="C62" s="19">
        <v>0</v>
      </c>
      <c r="D62" s="19">
        <v>0.63018000000000007</v>
      </c>
      <c r="E62" s="19">
        <v>0.4698</v>
      </c>
      <c r="F62" s="19">
        <v>0.49572000000000005</v>
      </c>
      <c r="G62" s="19">
        <v>0</v>
      </c>
      <c r="H62" s="19">
        <v>0</v>
      </c>
      <c r="I62" s="19">
        <v>0</v>
      </c>
      <c r="J62" s="19">
        <v>0</v>
      </c>
      <c r="K62" s="19">
        <v>0</v>
      </c>
      <c r="L62" s="19">
        <v>0</v>
      </c>
    </row>
    <row r="63" spans="1:12" x14ac:dyDescent="0.25">
      <c r="A63" s="20">
        <v>70</v>
      </c>
      <c r="B63" s="19">
        <v>0</v>
      </c>
      <c r="C63" s="19">
        <v>0</v>
      </c>
      <c r="D63" s="19">
        <v>0</v>
      </c>
      <c r="E63" s="19">
        <v>0</v>
      </c>
      <c r="F63" s="19">
        <v>0</v>
      </c>
      <c r="G63" s="19">
        <v>0</v>
      </c>
      <c r="H63" s="19">
        <v>0</v>
      </c>
      <c r="I63" s="19">
        <v>0</v>
      </c>
      <c r="J63" s="19">
        <v>0</v>
      </c>
      <c r="K63" s="19">
        <v>0</v>
      </c>
      <c r="L63" s="19">
        <v>0</v>
      </c>
    </row>
    <row r="64" spans="1:12" x14ac:dyDescent="0.25">
      <c r="A64" s="20">
        <v>71</v>
      </c>
      <c r="B64" s="19">
        <v>0</v>
      </c>
      <c r="C64" s="19">
        <v>0</v>
      </c>
      <c r="D64" s="19">
        <v>0</v>
      </c>
      <c r="E64" s="19">
        <v>0</v>
      </c>
      <c r="F64" s="19">
        <v>0</v>
      </c>
      <c r="G64" s="19">
        <v>0</v>
      </c>
      <c r="H64" s="19">
        <v>0</v>
      </c>
      <c r="I64" s="19">
        <v>0</v>
      </c>
      <c r="J64" s="19">
        <v>0</v>
      </c>
      <c r="K64" s="19">
        <v>0</v>
      </c>
      <c r="L64" s="19">
        <v>0</v>
      </c>
    </row>
    <row r="65" spans="1:12" x14ac:dyDescent="0.25">
      <c r="A65" s="20">
        <v>72</v>
      </c>
      <c r="B65" s="19">
        <v>0</v>
      </c>
      <c r="C65" s="19">
        <v>0</v>
      </c>
      <c r="D65" s="19">
        <v>0</v>
      </c>
      <c r="E65" s="19">
        <v>0</v>
      </c>
      <c r="F65" s="19">
        <v>0</v>
      </c>
      <c r="G65" s="19">
        <v>0</v>
      </c>
      <c r="H65" s="19">
        <v>0</v>
      </c>
      <c r="I65" s="19">
        <v>0</v>
      </c>
      <c r="J65" s="19">
        <v>0</v>
      </c>
      <c r="K65" s="19">
        <v>0</v>
      </c>
      <c r="L65" s="19">
        <v>0</v>
      </c>
    </row>
    <row r="66" spans="1:12" x14ac:dyDescent="0.25">
      <c r="A66" s="20">
        <v>73</v>
      </c>
      <c r="B66" s="19">
        <v>0</v>
      </c>
      <c r="C66" s="19">
        <v>0</v>
      </c>
      <c r="D66" s="19">
        <v>0</v>
      </c>
      <c r="E66" s="19">
        <v>0</v>
      </c>
      <c r="F66" s="19">
        <v>0</v>
      </c>
      <c r="G66" s="19">
        <v>0</v>
      </c>
      <c r="H66" s="19">
        <v>0</v>
      </c>
      <c r="I66" s="19">
        <v>0</v>
      </c>
      <c r="J66" s="19">
        <v>0</v>
      </c>
      <c r="K66" s="19">
        <v>0</v>
      </c>
      <c r="L66" s="19">
        <v>0</v>
      </c>
    </row>
    <row r="67" spans="1:12" x14ac:dyDescent="0.25">
      <c r="A67" s="20">
        <v>74</v>
      </c>
      <c r="B67" s="19">
        <v>0</v>
      </c>
      <c r="C67" s="19">
        <v>0</v>
      </c>
      <c r="D67" s="19">
        <v>0</v>
      </c>
      <c r="E67" s="19">
        <v>0</v>
      </c>
      <c r="F67" s="19">
        <v>0</v>
      </c>
      <c r="G67" s="19">
        <v>0</v>
      </c>
      <c r="H67" s="19">
        <v>0</v>
      </c>
      <c r="I67" s="19">
        <v>0</v>
      </c>
      <c r="J67" s="19">
        <v>0</v>
      </c>
      <c r="K67" s="19">
        <v>0</v>
      </c>
      <c r="L67" s="19">
        <v>0</v>
      </c>
    </row>
    <row r="68" spans="1:12" x14ac:dyDescent="0.25">
      <c r="A68" s="20">
        <v>75</v>
      </c>
      <c r="B68" s="19">
        <v>0</v>
      </c>
      <c r="C68" s="19">
        <v>0</v>
      </c>
      <c r="D68" s="19">
        <v>0</v>
      </c>
      <c r="E68" s="19">
        <v>0</v>
      </c>
      <c r="F68" s="19">
        <v>0</v>
      </c>
      <c r="G68" s="19">
        <v>0</v>
      </c>
      <c r="H68" s="19">
        <v>0</v>
      </c>
      <c r="I68" s="19">
        <v>0</v>
      </c>
      <c r="J68" s="19">
        <v>0</v>
      </c>
      <c r="K68" s="19">
        <v>0</v>
      </c>
      <c r="L68" s="19">
        <v>0</v>
      </c>
    </row>
  </sheetData>
  <sheetProtection algorithmName="SHA-512" hashValue="byrzNC7/k0DK0EqcAywnlzat3ZfaLVTmVaSBRuHweB7q476/XmNSDBHYAZ3Q6x8471kL7bqh/0CpGXBd6mGoQw==" saltValue="OTL1rgVIZCRP32yMTHnC6g==" spinCount="100000" sheet="1" objects="1" scenarios="1" selectLockedCells="1"/>
  <mergeCells count="5">
    <mergeCell ref="A4:A6"/>
    <mergeCell ref="B4:C4"/>
    <mergeCell ref="D4:F4"/>
    <mergeCell ref="G4:I4"/>
    <mergeCell ref="J4:L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DEFD8-0D10-4E67-908C-F4EE01D11CC7}">
  <sheetPr codeName="Sheet10">
    <tabColor rgb="FF00B0F0"/>
  </sheetPr>
  <dimension ref="A1:L68"/>
  <sheetViews>
    <sheetView zoomScaleNormal="100" workbookViewId="0">
      <selection sqref="A1:M1048576"/>
    </sheetView>
  </sheetViews>
  <sheetFormatPr defaultRowHeight="15" x14ac:dyDescent="0.25"/>
  <cols>
    <col min="1" max="12" width="13.140625" customWidth="1"/>
  </cols>
  <sheetData>
    <row r="1" spans="1:12" ht="21" x14ac:dyDescent="0.35">
      <c r="A1" s="4" t="s">
        <v>188</v>
      </c>
      <c r="B1" s="5"/>
      <c r="C1" s="6"/>
      <c r="D1" s="6"/>
      <c r="E1" s="6"/>
      <c r="F1" s="6"/>
      <c r="G1" s="6"/>
      <c r="H1" s="6"/>
      <c r="I1" s="6"/>
      <c r="J1" s="6"/>
      <c r="K1" s="6"/>
      <c r="L1" s="6"/>
    </row>
    <row r="2" spans="1:12" x14ac:dyDescent="0.25">
      <c r="A2" s="7" t="s">
        <v>0</v>
      </c>
      <c r="B2" s="3"/>
    </row>
    <row r="3" spans="1:12" x14ac:dyDescent="0.25">
      <c r="A3" s="1" t="s">
        <v>1</v>
      </c>
    </row>
    <row r="4" spans="1:12" x14ac:dyDescent="0.25">
      <c r="A4" s="154" t="s">
        <v>2</v>
      </c>
      <c r="B4" s="157" t="s">
        <v>3</v>
      </c>
      <c r="C4" s="168"/>
      <c r="D4" s="169" t="s">
        <v>4</v>
      </c>
      <c r="E4" s="169"/>
      <c r="F4" s="169"/>
      <c r="G4" s="170" t="s">
        <v>5</v>
      </c>
      <c r="H4" s="170"/>
      <c r="I4" s="170"/>
      <c r="J4" s="171" t="s">
        <v>6</v>
      </c>
      <c r="K4" s="171"/>
      <c r="L4" s="171"/>
    </row>
    <row r="5" spans="1:12" x14ac:dyDescent="0.25">
      <c r="A5" s="155"/>
      <c r="B5" s="8" t="s">
        <v>7</v>
      </c>
      <c r="C5" s="8" t="s">
        <v>8</v>
      </c>
      <c r="D5" s="9" t="s">
        <v>9</v>
      </c>
      <c r="E5" s="9" t="s">
        <v>10</v>
      </c>
      <c r="F5" s="9" t="s">
        <v>11</v>
      </c>
      <c r="G5" s="10" t="s">
        <v>9</v>
      </c>
      <c r="H5" s="10" t="s">
        <v>10</v>
      </c>
      <c r="I5" s="10" t="s">
        <v>11</v>
      </c>
      <c r="J5" s="11" t="s">
        <v>9</v>
      </c>
      <c r="K5" s="11" t="s">
        <v>10</v>
      </c>
      <c r="L5" s="23" t="s">
        <v>11</v>
      </c>
    </row>
    <row r="6" spans="1:12" x14ac:dyDescent="0.25">
      <c r="A6" s="156"/>
      <c r="B6" s="12" t="s">
        <v>158</v>
      </c>
      <c r="C6" s="12" t="s">
        <v>158</v>
      </c>
      <c r="D6" s="13" t="s">
        <v>158</v>
      </c>
      <c r="E6" s="13" t="s">
        <v>158</v>
      </c>
      <c r="F6" s="13" t="s">
        <v>158</v>
      </c>
      <c r="G6" s="14" t="s">
        <v>158</v>
      </c>
      <c r="H6" s="14" t="s">
        <v>158</v>
      </c>
      <c r="I6" s="14" t="s">
        <v>158</v>
      </c>
      <c r="J6" s="15" t="s">
        <v>158</v>
      </c>
      <c r="K6" s="15" t="s">
        <v>158</v>
      </c>
      <c r="L6" s="15" t="s">
        <v>158</v>
      </c>
    </row>
    <row r="7" spans="1:12" x14ac:dyDescent="0.25">
      <c r="A7" s="16"/>
      <c r="B7" s="17" t="s">
        <v>12</v>
      </c>
      <c r="C7" s="17" t="s">
        <v>13</v>
      </c>
      <c r="D7" s="17" t="s">
        <v>14</v>
      </c>
      <c r="E7" s="17" t="s">
        <v>15</v>
      </c>
      <c r="F7" s="17" t="s">
        <v>16</v>
      </c>
      <c r="G7" s="17" t="s">
        <v>17</v>
      </c>
      <c r="H7" s="17" t="s">
        <v>18</v>
      </c>
      <c r="I7" s="17" t="s">
        <v>19</v>
      </c>
      <c r="J7" s="17" t="s">
        <v>20</v>
      </c>
      <c r="K7" s="17" t="s">
        <v>21</v>
      </c>
      <c r="L7" s="17" t="s">
        <v>22</v>
      </c>
    </row>
    <row r="8" spans="1:12" x14ac:dyDescent="0.25">
      <c r="A8" s="18">
        <v>15</v>
      </c>
      <c r="B8" s="19">
        <v>4.7355000000000001E-2</v>
      </c>
      <c r="C8" s="19">
        <v>4.3890000000000005E-2</v>
      </c>
      <c r="D8" s="19">
        <v>9.4320000000000001E-2</v>
      </c>
      <c r="E8" s="19">
        <v>3.0130000000000001E-2</v>
      </c>
      <c r="F8" s="19">
        <v>2.4889999999999999E-2</v>
      </c>
      <c r="G8" s="19">
        <v>0.23580000000000001</v>
      </c>
      <c r="H8" s="19">
        <v>0.16244</v>
      </c>
      <c r="I8" s="19">
        <v>0.13492999999999999</v>
      </c>
      <c r="J8" s="19">
        <v>0.57771000000000006</v>
      </c>
      <c r="K8" s="19">
        <v>0.42182000000000003</v>
      </c>
      <c r="L8" s="19">
        <v>0.37334999999999996</v>
      </c>
    </row>
    <row r="9" spans="1:12" x14ac:dyDescent="0.25">
      <c r="A9" s="20">
        <v>16</v>
      </c>
      <c r="B9" s="19">
        <v>4.7355000000000001E-2</v>
      </c>
      <c r="C9" s="19">
        <v>4.3890000000000005E-2</v>
      </c>
      <c r="D9" s="19">
        <v>9.4320000000000001E-2</v>
      </c>
      <c r="E9" s="19">
        <v>3.0130000000000001E-2</v>
      </c>
      <c r="F9" s="19">
        <v>2.4889999999999999E-2</v>
      </c>
      <c r="G9" s="19">
        <v>0.23580000000000001</v>
      </c>
      <c r="H9" s="19">
        <v>0.16244</v>
      </c>
      <c r="I9" s="19">
        <v>0.13492999999999999</v>
      </c>
      <c r="J9" s="19">
        <v>0.57771000000000006</v>
      </c>
      <c r="K9" s="19">
        <v>0.42182000000000003</v>
      </c>
      <c r="L9" s="19">
        <v>0.37334999999999996</v>
      </c>
    </row>
    <row r="10" spans="1:12" x14ac:dyDescent="0.25">
      <c r="A10" s="20">
        <v>17</v>
      </c>
      <c r="B10" s="19">
        <v>4.7355000000000001E-2</v>
      </c>
      <c r="C10" s="19">
        <v>4.3890000000000005E-2</v>
      </c>
      <c r="D10" s="19">
        <v>9.4320000000000001E-2</v>
      </c>
      <c r="E10" s="19">
        <v>3.0130000000000001E-2</v>
      </c>
      <c r="F10" s="19">
        <v>2.4889999999999999E-2</v>
      </c>
      <c r="G10" s="19">
        <v>0.23580000000000001</v>
      </c>
      <c r="H10" s="19">
        <v>0.16244</v>
      </c>
      <c r="I10" s="19">
        <v>0.13492999999999999</v>
      </c>
      <c r="J10" s="19">
        <v>0.57771000000000006</v>
      </c>
      <c r="K10" s="19">
        <v>0.42182000000000003</v>
      </c>
      <c r="L10" s="19">
        <v>0.37334999999999996</v>
      </c>
    </row>
    <row r="11" spans="1:12" x14ac:dyDescent="0.25">
      <c r="A11" s="20">
        <v>18</v>
      </c>
      <c r="B11" s="19">
        <v>4.7355000000000001E-2</v>
      </c>
      <c r="C11" s="19">
        <v>4.3890000000000005E-2</v>
      </c>
      <c r="D11" s="19">
        <v>9.4320000000000001E-2</v>
      </c>
      <c r="E11" s="19">
        <v>3.0130000000000001E-2</v>
      </c>
      <c r="F11" s="19">
        <v>2.4889999999999999E-2</v>
      </c>
      <c r="G11" s="19">
        <v>0.23449</v>
      </c>
      <c r="H11" s="19">
        <v>0.16244</v>
      </c>
      <c r="I11" s="19">
        <v>0.13492999999999999</v>
      </c>
      <c r="J11" s="19">
        <v>0.57771000000000006</v>
      </c>
      <c r="K11" s="19">
        <v>0.42182000000000003</v>
      </c>
      <c r="L11" s="19">
        <v>0.37334999999999996</v>
      </c>
    </row>
    <row r="12" spans="1:12" x14ac:dyDescent="0.25">
      <c r="A12" s="20">
        <v>19</v>
      </c>
      <c r="B12" s="19">
        <v>4.7932500000000003E-2</v>
      </c>
      <c r="C12" s="19">
        <v>4.3890000000000005E-2</v>
      </c>
      <c r="D12" s="19">
        <v>9.4320000000000001E-2</v>
      </c>
      <c r="E12" s="19">
        <v>3.0130000000000001E-2</v>
      </c>
      <c r="F12" s="19">
        <v>2.4889999999999999E-2</v>
      </c>
      <c r="G12" s="19">
        <v>0.23449</v>
      </c>
      <c r="H12" s="19">
        <v>0.16244</v>
      </c>
      <c r="I12" s="19">
        <v>0.13492999999999999</v>
      </c>
      <c r="J12" s="19">
        <v>0.57771000000000006</v>
      </c>
      <c r="K12" s="19">
        <v>0.42182000000000003</v>
      </c>
      <c r="L12" s="19">
        <v>0.37334999999999996</v>
      </c>
    </row>
    <row r="13" spans="1:12" x14ac:dyDescent="0.25">
      <c r="A13" s="20">
        <v>20</v>
      </c>
      <c r="B13" s="19">
        <v>4.7932500000000003E-2</v>
      </c>
      <c r="C13" s="19">
        <v>4.3890000000000005E-2</v>
      </c>
      <c r="D13" s="19">
        <v>9.4320000000000001E-2</v>
      </c>
      <c r="E13" s="19">
        <v>3.0130000000000001E-2</v>
      </c>
      <c r="F13" s="19">
        <v>2.4889999999999999E-2</v>
      </c>
      <c r="G13" s="19">
        <v>0.23449</v>
      </c>
      <c r="H13" s="19">
        <v>0.16244</v>
      </c>
      <c r="I13" s="19">
        <v>0.13492999999999999</v>
      </c>
      <c r="J13" s="19">
        <v>0.57771000000000006</v>
      </c>
      <c r="K13" s="19">
        <v>0.42182000000000003</v>
      </c>
      <c r="L13" s="19">
        <v>0.37334999999999996</v>
      </c>
    </row>
    <row r="14" spans="1:12" x14ac:dyDescent="0.25">
      <c r="A14" s="20">
        <v>21</v>
      </c>
      <c r="B14" s="19">
        <v>4.8509999999999998E-2</v>
      </c>
      <c r="C14" s="19">
        <v>4.4660000000000005E-2</v>
      </c>
      <c r="D14" s="19">
        <v>9.4320000000000001E-2</v>
      </c>
      <c r="E14" s="19">
        <v>3.5369999999999999E-2</v>
      </c>
      <c r="F14" s="19">
        <v>3.0130000000000001E-2</v>
      </c>
      <c r="G14" s="19">
        <v>0.23841999999999999</v>
      </c>
      <c r="H14" s="19">
        <v>0.16506000000000001</v>
      </c>
      <c r="I14" s="19">
        <v>0.13624</v>
      </c>
      <c r="J14" s="19">
        <v>0.59212000000000009</v>
      </c>
      <c r="K14" s="19">
        <v>0.43230000000000002</v>
      </c>
      <c r="L14" s="19">
        <v>0.38251999999999997</v>
      </c>
    </row>
    <row r="15" spans="1:12" x14ac:dyDescent="0.25">
      <c r="A15" s="20">
        <v>22</v>
      </c>
      <c r="B15" s="19">
        <v>4.9087500000000006E-2</v>
      </c>
      <c r="C15" s="19">
        <v>4.4660000000000005E-2</v>
      </c>
      <c r="D15" s="19">
        <v>9.5629999999999993E-2</v>
      </c>
      <c r="E15" s="19">
        <v>4.061E-2</v>
      </c>
      <c r="F15" s="19">
        <v>3.2750000000000001E-2</v>
      </c>
      <c r="G15" s="19">
        <v>0.24235000000000001</v>
      </c>
      <c r="H15" s="19">
        <v>0.16768000000000002</v>
      </c>
      <c r="I15" s="19">
        <v>0.13886000000000001</v>
      </c>
      <c r="J15" s="19">
        <v>0.60915000000000008</v>
      </c>
      <c r="K15" s="19">
        <v>0.44409000000000004</v>
      </c>
      <c r="L15" s="19">
        <v>0.39300000000000002</v>
      </c>
    </row>
    <row r="16" spans="1:12" x14ac:dyDescent="0.25">
      <c r="A16" s="20">
        <v>23</v>
      </c>
      <c r="B16" s="19">
        <v>4.9665000000000001E-2</v>
      </c>
      <c r="C16" s="19">
        <v>4.4660000000000005E-2</v>
      </c>
      <c r="D16" s="19">
        <v>9.8250000000000004E-2</v>
      </c>
      <c r="E16" s="19">
        <v>4.4540000000000003E-2</v>
      </c>
      <c r="F16" s="19">
        <v>3.7990000000000003E-2</v>
      </c>
      <c r="G16" s="19">
        <v>0.24759</v>
      </c>
      <c r="H16" s="19">
        <v>0.17030000000000001</v>
      </c>
      <c r="I16" s="19">
        <v>0.14147999999999999</v>
      </c>
      <c r="J16" s="19">
        <v>0.62487000000000004</v>
      </c>
      <c r="K16" s="19">
        <v>0.45456999999999997</v>
      </c>
      <c r="L16" s="19">
        <v>0.40348000000000001</v>
      </c>
    </row>
    <row r="17" spans="1:12" x14ac:dyDescent="0.25">
      <c r="A17" s="20">
        <v>24</v>
      </c>
      <c r="B17" s="19">
        <v>5.0820000000000004E-2</v>
      </c>
      <c r="C17" s="19">
        <v>4.5429999999999998E-2</v>
      </c>
      <c r="D17" s="19">
        <v>0.10087</v>
      </c>
      <c r="E17" s="19">
        <v>5.1090000000000003E-2</v>
      </c>
      <c r="F17" s="19">
        <v>4.3230000000000005E-2</v>
      </c>
      <c r="G17" s="19">
        <v>0.25152000000000002</v>
      </c>
      <c r="H17" s="19">
        <v>0.17292000000000002</v>
      </c>
      <c r="I17" s="19">
        <v>0.14410000000000001</v>
      </c>
      <c r="J17" s="19">
        <v>0.64058999999999999</v>
      </c>
      <c r="K17" s="19">
        <v>0.46636</v>
      </c>
      <c r="L17" s="19">
        <v>0.41265000000000002</v>
      </c>
    </row>
    <row r="18" spans="1:12" x14ac:dyDescent="0.25">
      <c r="A18" s="20">
        <v>25</v>
      </c>
      <c r="B18" s="19">
        <v>5.1975E-2</v>
      </c>
      <c r="C18" s="19">
        <v>4.0809999999999999E-2</v>
      </c>
      <c r="D18" s="19">
        <v>0.1048</v>
      </c>
      <c r="E18" s="19">
        <v>5.5020000000000006E-2</v>
      </c>
      <c r="F18" s="19">
        <v>5.2400000000000002E-2</v>
      </c>
      <c r="G18" s="19">
        <v>0.25807000000000002</v>
      </c>
      <c r="H18" s="19">
        <v>0.17816000000000001</v>
      </c>
      <c r="I18" s="19">
        <v>0.14803000000000002</v>
      </c>
      <c r="J18" s="19">
        <v>0.66155000000000008</v>
      </c>
      <c r="K18" s="19">
        <v>0.48208000000000001</v>
      </c>
      <c r="L18" s="19">
        <v>0.42706000000000005</v>
      </c>
    </row>
    <row r="19" spans="1:12" x14ac:dyDescent="0.25">
      <c r="A19" s="20">
        <v>26</v>
      </c>
      <c r="B19" s="19">
        <v>5.3129999999999997E-2</v>
      </c>
      <c r="C19" s="19">
        <v>4.3119999999999999E-2</v>
      </c>
      <c r="D19" s="19">
        <v>0.10873000000000001</v>
      </c>
      <c r="E19" s="19">
        <v>6.157E-2</v>
      </c>
      <c r="F19" s="19">
        <v>5.2400000000000002E-2</v>
      </c>
      <c r="G19" s="19">
        <v>0.26069000000000003</v>
      </c>
      <c r="H19" s="19">
        <v>0.17947000000000002</v>
      </c>
      <c r="I19" s="19">
        <v>0.14934</v>
      </c>
      <c r="J19" s="19">
        <v>0.67465000000000008</v>
      </c>
      <c r="K19" s="19">
        <v>0.48994000000000004</v>
      </c>
      <c r="L19" s="19">
        <v>0.43361000000000005</v>
      </c>
    </row>
    <row r="20" spans="1:12" x14ac:dyDescent="0.25">
      <c r="A20" s="20">
        <v>27</v>
      </c>
      <c r="B20" s="19">
        <v>5.4862500000000008E-2</v>
      </c>
      <c r="C20" s="19">
        <v>4.5429999999999998E-2</v>
      </c>
      <c r="D20" s="19">
        <v>0.11397</v>
      </c>
      <c r="E20" s="19">
        <v>6.6809999999999994E-2</v>
      </c>
      <c r="F20" s="19">
        <v>5.7639999999999997E-2</v>
      </c>
      <c r="G20" s="19">
        <v>0.26462000000000002</v>
      </c>
      <c r="H20" s="19">
        <v>0.18209000000000003</v>
      </c>
      <c r="I20" s="19">
        <v>0.15065000000000001</v>
      </c>
      <c r="J20" s="19">
        <v>0.68906000000000001</v>
      </c>
      <c r="K20" s="19">
        <v>0.49780000000000002</v>
      </c>
      <c r="L20" s="19">
        <v>0.44147000000000003</v>
      </c>
    </row>
    <row r="21" spans="1:12" x14ac:dyDescent="0.25">
      <c r="A21" s="20">
        <v>28</v>
      </c>
      <c r="B21" s="19">
        <v>5.6594999999999999E-2</v>
      </c>
      <c r="C21" s="19">
        <v>4.8510000000000005E-2</v>
      </c>
      <c r="D21" s="19">
        <v>0.11921</v>
      </c>
      <c r="E21" s="19">
        <v>7.3360000000000009E-2</v>
      </c>
      <c r="F21" s="19">
        <v>6.2880000000000005E-2</v>
      </c>
      <c r="G21" s="19">
        <v>0.26985999999999999</v>
      </c>
      <c r="H21" s="19">
        <v>0.18470999999999999</v>
      </c>
      <c r="I21" s="19">
        <v>0.15327000000000002</v>
      </c>
      <c r="J21" s="19">
        <v>0.70740000000000003</v>
      </c>
      <c r="K21" s="19">
        <v>0.50697000000000003</v>
      </c>
      <c r="L21" s="19">
        <v>0.45063999999999999</v>
      </c>
    </row>
    <row r="22" spans="1:12" x14ac:dyDescent="0.25">
      <c r="A22" s="20">
        <v>29</v>
      </c>
      <c r="B22" s="19">
        <v>5.8904999999999999E-2</v>
      </c>
      <c r="C22" s="19">
        <v>5.3900000000000003E-2</v>
      </c>
      <c r="D22" s="19">
        <v>0.12445000000000001</v>
      </c>
      <c r="E22" s="19">
        <v>7.9909999999999995E-2</v>
      </c>
      <c r="F22" s="19">
        <v>6.812E-2</v>
      </c>
      <c r="G22" s="19">
        <v>0.27510000000000001</v>
      </c>
      <c r="H22" s="19">
        <v>0.18864</v>
      </c>
      <c r="I22" s="19">
        <v>0.15589</v>
      </c>
      <c r="J22" s="19">
        <v>0.72705000000000009</v>
      </c>
      <c r="K22" s="19">
        <v>0.51745000000000008</v>
      </c>
      <c r="L22" s="19">
        <v>0.45981</v>
      </c>
    </row>
    <row r="23" spans="1:12" x14ac:dyDescent="0.25">
      <c r="A23" s="20">
        <v>30</v>
      </c>
      <c r="B23" s="19">
        <v>6.0637500000000004E-2</v>
      </c>
      <c r="C23" s="19">
        <v>5.8520000000000003E-2</v>
      </c>
      <c r="D23" s="19">
        <v>0.13100000000000001</v>
      </c>
      <c r="E23" s="19">
        <v>9.0390000000000012E-2</v>
      </c>
      <c r="F23" s="19">
        <v>7.3360000000000009E-2</v>
      </c>
      <c r="G23" s="19">
        <v>0.28295999999999999</v>
      </c>
      <c r="H23" s="19">
        <v>0.19256999999999999</v>
      </c>
      <c r="I23" s="19">
        <v>0.15981999999999999</v>
      </c>
      <c r="J23" s="19">
        <v>0.74931999999999999</v>
      </c>
      <c r="K23" s="19">
        <v>0.53055000000000008</v>
      </c>
      <c r="L23" s="19">
        <v>0.47028999999999999</v>
      </c>
    </row>
    <row r="24" spans="1:12" x14ac:dyDescent="0.25">
      <c r="A24" s="20">
        <v>31</v>
      </c>
      <c r="B24" s="19">
        <v>6.2947500000000003E-2</v>
      </c>
      <c r="C24" s="19">
        <v>6.3910000000000008E-2</v>
      </c>
      <c r="D24" s="19">
        <v>0.13755000000000001</v>
      </c>
      <c r="E24" s="19">
        <v>9.8250000000000004E-2</v>
      </c>
      <c r="F24" s="19">
        <v>8.1220000000000001E-2</v>
      </c>
      <c r="G24" s="19">
        <v>0.29344000000000003</v>
      </c>
      <c r="H24" s="19">
        <v>0.19781000000000001</v>
      </c>
      <c r="I24" s="19">
        <v>0.16375000000000001</v>
      </c>
      <c r="J24" s="19">
        <v>0.77944999999999998</v>
      </c>
      <c r="K24" s="19">
        <v>0.54757999999999996</v>
      </c>
      <c r="L24" s="19">
        <v>0.48601</v>
      </c>
    </row>
    <row r="25" spans="1:12" x14ac:dyDescent="0.25">
      <c r="A25" s="20">
        <v>32</v>
      </c>
      <c r="B25" s="19">
        <v>6.5835000000000005E-2</v>
      </c>
      <c r="C25" s="19">
        <v>7.1610000000000007E-2</v>
      </c>
      <c r="D25" s="19">
        <v>0.14410000000000001</v>
      </c>
      <c r="E25" s="19">
        <v>0.10873000000000001</v>
      </c>
      <c r="F25" s="19">
        <v>9.0390000000000012E-2</v>
      </c>
      <c r="G25" s="19">
        <v>0.30392000000000002</v>
      </c>
      <c r="H25" s="19">
        <v>0.20436000000000001</v>
      </c>
      <c r="I25" s="19">
        <v>0.16899</v>
      </c>
      <c r="J25" s="19">
        <v>0.81220000000000003</v>
      </c>
      <c r="K25" s="19">
        <v>0.56723000000000001</v>
      </c>
      <c r="L25" s="19">
        <v>0.50304000000000004</v>
      </c>
    </row>
    <row r="26" spans="1:12" x14ac:dyDescent="0.25">
      <c r="A26" s="20">
        <v>33</v>
      </c>
      <c r="B26" s="19">
        <v>6.8722500000000006E-2</v>
      </c>
      <c r="C26" s="19">
        <v>7.9309999999999992E-2</v>
      </c>
      <c r="D26" s="19">
        <v>0.15327000000000002</v>
      </c>
      <c r="E26" s="19">
        <v>0.1179</v>
      </c>
      <c r="F26" s="19">
        <v>9.8250000000000004E-2</v>
      </c>
      <c r="G26" s="19">
        <v>0.31702000000000002</v>
      </c>
      <c r="H26" s="19">
        <v>0.21222000000000002</v>
      </c>
      <c r="I26" s="19">
        <v>0.17554000000000003</v>
      </c>
      <c r="J26" s="19">
        <v>0.84888000000000008</v>
      </c>
      <c r="K26" s="19">
        <v>0.59081000000000006</v>
      </c>
      <c r="L26" s="19">
        <v>0.5226900000000001</v>
      </c>
    </row>
    <row r="27" spans="1:12" x14ac:dyDescent="0.25">
      <c r="A27" s="20">
        <v>34</v>
      </c>
      <c r="B27" s="19">
        <v>7.1609999999999993E-2</v>
      </c>
      <c r="C27" s="19">
        <v>8.8550000000000004E-2</v>
      </c>
      <c r="D27" s="19">
        <v>0.16113</v>
      </c>
      <c r="E27" s="19">
        <v>0.12838000000000002</v>
      </c>
      <c r="F27" s="19">
        <v>0.10873000000000001</v>
      </c>
      <c r="G27" s="19">
        <v>0.33274000000000004</v>
      </c>
      <c r="H27" s="19">
        <v>0.22270000000000004</v>
      </c>
      <c r="I27" s="19">
        <v>0.18470999999999999</v>
      </c>
      <c r="J27" s="19">
        <v>0.8934200000000001</v>
      </c>
      <c r="K27" s="19">
        <v>0.61963000000000001</v>
      </c>
      <c r="L27" s="19">
        <v>0.54888999999999999</v>
      </c>
    </row>
    <row r="28" spans="1:12" x14ac:dyDescent="0.25">
      <c r="A28" s="20">
        <v>35</v>
      </c>
      <c r="B28" s="19">
        <v>7.5652499999999998E-2</v>
      </c>
      <c r="C28" s="19">
        <v>9.7790000000000002E-2</v>
      </c>
      <c r="D28" s="19">
        <v>0.17030000000000001</v>
      </c>
      <c r="E28" s="19">
        <v>0.13886000000000001</v>
      </c>
      <c r="F28" s="19">
        <v>0.1179</v>
      </c>
      <c r="G28" s="19">
        <v>0.34977000000000003</v>
      </c>
      <c r="H28" s="19">
        <v>0.23318</v>
      </c>
      <c r="I28" s="19">
        <v>0.19388</v>
      </c>
      <c r="J28" s="19">
        <v>0.94057999999999997</v>
      </c>
      <c r="K28" s="19">
        <v>0.65107000000000004</v>
      </c>
      <c r="L28" s="19">
        <v>0.57771000000000006</v>
      </c>
    </row>
    <row r="29" spans="1:12" x14ac:dyDescent="0.25">
      <c r="A29" s="20">
        <v>36</v>
      </c>
      <c r="B29" s="19">
        <v>7.9695000000000002E-2</v>
      </c>
      <c r="C29" s="19">
        <v>0.10933999999999999</v>
      </c>
      <c r="D29" s="19">
        <v>0.18078000000000002</v>
      </c>
      <c r="E29" s="19">
        <v>0.14934</v>
      </c>
      <c r="F29" s="19">
        <v>0.12576000000000001</v>
      </c>
      <c r="G29" s="19">
        <v>0.36811000000000005</v>
      </c>
      <c r="H29" s="19">
        <v>0.24628</v>
      </c>
      <c r="I29" s="19">
        <v>0.20436000000000001</v>
      </c>
      <c r="J29" s="19">
        <v>0.99036000000000002</v>
      </c>
      <c r="K29" s="19">
        <v>0.68644000000000005</v>
      </c>
      <c r="L29" s="19">
        <v>0.60784000000000005</v>
      </c>
    </row>
    <row r="30" spans="1:12" x14ac:dyDescent="0.25">
      <c r="A30" s="20">
        <v>37</v>
      </c>
      <c r="B30" s="19">
        <v>8.4315000000000001E-2</v>
      </c>
      <c r="C30" s="19">
        <v>0.12089</v>
      </c>
      <c r="D30" s="19">
        <v>0.19125999999999999</v>
      </c>
      <c r="E30" s="19">
        <v>0.15981999999999999</v>
      </c>
      <c r="F30" s="19">
        <v>0.13361999999999999</v>
      </c>
      <c r="G30" s="19">
        <v>0.38906999999999997</v>
      </c>
      <c r="H30" s="19">
        <v>0.26200000000000001</v>
      </c>
      <c r="I30" s="19">
        <v>0.21746000000000001</v>
      </c>
      <c r="J30" s="19">
        <v>1.0427600000000001</v>
      </c>
      <c r="K30" s="19">
        <v>0.72574000000000005</v>
      </c>
      <c r="L30" s="19">
        <v>0.64321000000000006</v>
      </c>
    </row>
    <row r="31" spans="1:12" x14ac:dyDescent="0.25">
      <c r="A31" s="20">
        <v>38</v>
      </c>
      <c r="B31" s="19">
        <v>8.9512499999999995E-2</v>
      </c>
      <c r="C31" s="19">
        <v>0.13397999999999999</v>
      </c>
      <c r="D31" s="19">
        <v>0.20305000000000001</v>
      </c>
      <c r="E31" s="19">
        <v>0.17161000000000001</v>
      </c>
      <c r="F31" s="19">
        <v>0.14147999999999999</v>
      </c>
      <c r="G31" s="19">
        <v>0.41265000000000002</v>
      </c>
      <c r="H31" s="19">
        <v>0.27903</v>
      </c>
      <c r="I31" s="19">
        <v>0.23186999999999999</v>
      </c>
      <c r="J31" s="19">
        <v>1.0990899999999999</v>
      </c>
      <c r="K31" s="19">
        <v>0.76766000000000001</v>
      </c>
      <c r="L31" s="19">
        <v>0.68120000000000003</v>
      </c>
    </row>
    <row r="32" spans="1:12" x14ac:dyDescent="0.25">
      <c r="A32" s="20">
        <v>39</v>
      </c>
      <c r="B32" s="19">
        <v>9.4710000000000003E-2</v>
      </c>
      <c r="C32" s="19">
        <v>0.14938000000000001</v>
      </c>
      <c r="D32" s="19">
        <v>0.21615000000000001</v>
      </c>
      <c r="E32" s="19">
        <v>0.18340000000000004</v>
      </c>
      <c r="F32" s="19">
        <v>0.15327000000000002</v>
      </c>
      <c r="G32" s="19">
        <v>0.43885000000000002</v>
      </c>
      <c r="H32" s="19">
        <v>0.29868</v>
      </c>
      <c r="I32" s="19">
        <v>0.24890000000000001</v>
      </c>
      <c r="J32" s="19">
        <v>1.15804</v>
      </c>
      <c r="K32" s="19">
        <v>0.81351000000000007</v>
      </c>
      <c r="L32" s="19">
        <v>0.72181000000000006</v>
      </c>
    </row>
    <row r="33" spans="1:12" x14ac:dyDescent="0.25">
      <c r="A33" s="20">
        <v>40</v>
      </c>
      <c r="B33" s="19">
        <v>0.10164000000000001</v>
      </c>
      <c r="C33" s="19">
        <v>0.16555</v>
      </c>
      <c r="D33" s="19">
        <v>0.22924999999999998</v>
      </c>
      <c r="E33" s="19">
        <v>0.19781000000000001</v>
      </c>
      <c r="F33" s="19">
        <v>0.16375000000000001</v>
      </c>
      <c r="G33" s="19">
        <v>0.46636</v>
      </c>
      <c r="H33" s="19">
        <v>0.32225999999999999</v>
      </c>
      <c r="I33" s="19">
        <v>0.26723999999999998</v>
      </c>
      <c r="J33" s="19">
        <v>1.2196100000000001</v>
      </c>
      <c r="K33" s="19">
        <v>0.86460000000000004</v>
      </c>
      <c r="L33" s="19">
        <v>0.76634999999999998</v>
      </c>
    </row>
    <row r="34" spans="1:12" x14ac:dyDescent="0.25">
      <c r="A34" s="20">
        <v>41</v>
      </c>
      <c r="B34" s="19">
        <v>0.10799250000000001</v>
      </c>
      <c r="C34" s="19">
        <v>0.18403</v>
      </c>
      <c r="D34" s="19">
        <v>0.24497000000000002</v>
      </c>
      <c r="E34" s="19">
        <v>0.21091000000000001</v>
      </c>
      <c r="F34" s="19">
        <v>0.17685000000000001</v>
      </c>
      <c r="G34" s="19">
        <v>0.49780000000000002</v>
      </c>
      <c r="H34" s="19">
        <v>0.34715000000000001</v>
      </c>
      <c r="I34" s="19">
        <v>0.28820000000000001</v>
      </c>
      <c r="J34" s="19">
        <v>1.2838000000000001</v>
      </c>
      <c r="K34" s="19">
        <v>0.91961999999999999</v>
      </c>
      <c r="L34" s="19">
        <v>0.81481999999999999</v>
      </c>
    </row>
    <row r="35" spans="1:12" x14ac:dyDescent="0.25">
      <c r="A35" s="20">
        <v>42</v>
      </c>
      <c r="B35" s="19">
        <v>0.11550000000000002</v>
      </c>
      <c r="C35" s="19">
        <v>0.20405000000000001</v>
      </c>
      <c r="D35" s="19">
        <v>0.26069000000000003</v>
      </c>
      <c r="E35" s="19">
        <v>0.22663</v>
      </c>
      <c r="F35" s="19">
        <v>0.18864</v>
      </c>
      <c r="G35" s="19">
        <v>0.53186000000000011</v>
      </c>
      <c r="H35" s="19">
        <v>0.37596999999999997</v>
      </c>
      <c r="I35" s="19">
        <v>0.31178</v>
      </c>
      <c r="J35" s="19">
        <v>1.35192</v>
      </c>
      <c r="K35" s="19">
        <v>0.97726000000000002</v>
      </c>
      <c r="L35" s="19">
        <v>0.8672200000000001</v>
      </c>
    </row>
    <row r="36" spans="1:12" x14ac:dyDescent="0.25">
      <c r="A36" s="20">
        <v>43</v>
      </c>
      <c r="B36" s="19">
        <v>0.12416250000000001</v>
      </c>
      <c r="C36" s="19">
        <v>0.22714999999999999</v>
      </c>
      <c r="D36" s="19">
        <v>0.27772000000000002</v>
      </c>
      <c r="E36" s="19">
        <v>0.24366000000000002</v>
      </c>
      <c r="F36" s="19">
        <v>0.20174</v>
      </c>
      <c r="G36" s="19">
        <v>0.56984999999999997</v>
      </c>
      <c r="H36" s="19">
        <v>0.40740999999999999</v>
      </c>
      <c r="I36" s="19">
        <v>0.33798</v>
      </c>
      <c r="J36" s="19">
        <v>1.4200400000000002</v>
      </c>
      <c r="K36" s="19">
        <v>1.0388300000000001</v>
      </c>
      <c r="L36" s="19">
        <v>0.92093000000000003</v>
      </c>
    </row>
    <row r="37" spans="1:12" x14ac:dyDescent="0.25">
      <c r="A37" s="20">
        <v>44</v>
      </c>
      <c r="B37" s="19">
        <v>0.1345575</v>
      </c>
      <c r="C37" s="19">
        <v>0.25256000000000001</v>
      </c>
      <c r="D37" s="19">
        <v>0.29606000000000005</v>
      </c>
      <c r="E37" s="19">
        <v>0.25938</v>
      </c>
      <c r="F37" s="19">
        <v>0.21877000000000002</v>
      </c>
      <c r="G37" s="19">
        <v>0.61177000000000004</v>
      </c>
      <c r="H37" s="19">
        <v>0.44409000000000004</v>
      </c>
      <c r="I37" s="19">
        <v>0.36811000000000005</v>
      </c>
      <c r="J37" s="19">
        <v>1.4920900000000001</v>
      </c>
      <c r="K37" s="19">
        <v>1.10433</v>
      </c>
      <c r="L37" s="19">
        <v>0.97857000000000005</v>
      </c>
    </row>
    <row r="38" spans="1:12" x14ac:dyDescent="0.25">
      <c r="A38" s="20">
        <v>45</v>
      </c>
      <c r="B38" s="19">
        <v>0.14495249999999998</v>
      </c>
      <c r="C38" s="19">
        <v>0.27950999999999998</v>
      </c>
      <c r="D38" s="19">
        <v>0.31570999999999999</v>
      </c>
      <c r="E38" s="19">
        <v>0.27772000000000002</v>
      </c>
      <c r="F38" s="19">
        <v>0.23186999999999999</v>
      </c>
      <c r="G38" s="19">
        <v>0.65631000000000006</v>
      </c>
      <c r="H38" s="19">
        <v>0.48338999999999999</v>
      </c>
      <c r="I38" s="19">
        <v>0.40085999999999999</v>
      </c>
      <c r="J38" s="19">
        <v>1.5641400000000001</v>
      </c>
      <c r="K38" s="19">
        <v>1.1737600000000001</v>
      </c>
      <c r="L38" s="19">
        <v>1.0401400000000001</v>
      </c>
    </row>
    <row r="39" spans="1:12" x14ac:dyDescent="0.25">
      <c r="A39" s="20">
        <v>46</v>
      </c>
      <c r="B39" s="19">
        <v>0.15650250000000002</v>
      </c>
      <c r="C39" s="19">
        <v>0.31108000000000002</v>
      </c>
      <c r="D39" s="19">
        <v>0.33798</v>
      </c>
      <c r="E39" s="19">
        <v>0.29868</v>
      </c>
      <c r="F39" s="19">
        <v>0.24759</v>
      </c>
      <c r="G39" s="19">
        <v>0.70740000000000003</v>
      </c>
      <c r="H39" s="19">
        <v>0.52793000000000001</v>
      </c>
      <c r="I39" s="19">
        <v>0.43754000000000004</v>
      </c>
      <c r="J39" s="19">
        <v>1.6388099999999999</v>
      </c>
      <c r="K39" s="19">
        <v>1.24319</v>
      </c>
      <c r="L39" s="19">
        <v>1.10171</v>
      </c>
    </row>
    <row r="40" spans="1:12" x14ac:dyDescent="0.25">
      <c r="A40" s="20">
        <v>47</v>
      </c>
      <c r="B40" s="19">
        <v>0.1703625</v>
      </c>
      <c r="C40" s="19">
        <v>0.34573000000000004</v>
      </c>
      <c r="D40" s="19">
        <v>0.36156000000000005</v>
      </c>
      <c r="E40" s="19">
        <v>0.31833</v>
      </c>
      <c r="F40" s="19">
        <v>0.26462000000000002</v>
      </c>
      <c r="G40" s="19">
        <v>0.76241999999999999</v>
      </c>
      <c r="H40" s="19">
        <v>0.57640000000000002</v>
      </c>
      <c r="I40" s="19">
        <v>0.47815000000000002</v>
      </c>
      <c r="J40" s="19">
        <v>1.7134800000000001</v>
      </c>
      <c r="K40" s="19">
        <v>1.31524</v>
      </c>
      <c r="L40" s="19">
        <v>1.1659000000000002</v>
      </c>
    </row>
    <row r="41" spans="1:12" x14ac:dyDescent="0.25">
      <c r="A41" s="20">
        <v>48</v>
      </c>
      <c r="B41" s="19">
        <v>0.1853775</v>
      </c>
      <c r="C41" s="19">
        <v>0.38346000000000002</v>
      </c>
      <c r="D41" s="19">
        <v>0.38645000000000002</v>
      </c>
      <c r="E41" s="19">
        <v>0.33929000000000004</v>
      </c>
      <c r="F41" s="19">
        <v>0.28427000000000002</v>
      </c>
      <c r="G41" s="19">
        <v>0.82268000000000008</v>
      </c>
      <c r="H41" s="19">
        <v>0.63011000000000006</v>
      </c>
      <c r="I41" s="19">
        <v>0.5226900000000001</v>
      </c>
      <c r="J41" s="19">
        <v>1.7868400000000002</v>
      </c>
      <c r="K41" s="19">
        <v>1.3886000000000001</v>
      </c>
      <c r="L41" s="19">
        <v>1.2300899999999999</v>
      </c>
    </row>
    <row r="42" spans="1:12" x14ac:dyDescent="0.25">
      <c r="A42" s="20">
        <v>49</v>
      </c>
      <c r="B42" s="19">
        <v>0.20270250000000001</v>
      </c>
      <c r="C42" s="19">
        <v>0.42658000000000007</v>
      </c>
      <c r="D42" s="19">
        <v>0.41395999999999999</v>
      </c>
      <c r="E42" s="19">
        <v>0.36418000000000006</v>
      </c>
      <c r="F42" s="19">
        <v>0.30261000000000005</v>
      </c>
      <c r="G42" s="19">
        <v>0.88818000000000008</v>
      </c>
      <c r="H42" s="19">
        <v>0.68906000000000001</v>
      </c>
      <c r="I42" s="19">
        <v>0.57247000000000003</v>
      </c>
      <c r="J42" s="19">
        <v>1.8588900000000002</v>
      </c>
      <c r="K42" s="19">
        <v>1.4593400000000001</v>
      </c>
      <c r="L42" s="19">
        <v>1.29297</v>
      </c>
    </row>
    <row r="43" spans="1:12" x14ac:dyDescent="0.25">
      <c r="A43" s="20">
        <v>50</v>
      </c>
      <c r="B43" s="19">
        <v>0.22176000000000001</v>
      </c>
      <c r="C43" s="19">
        <v>0.47432000000000002</v>
      </c>
      <c r="D43" s="19">
        <v>0.44409000000000004</v>
      </c>
      <c r="E43" s="19">
        <v>0.38775999999999999</v>
      </c>
      <c r="F43" s="19">
        <v>0.35763000000000006</v>
      </c>
      <c r="G43" s="19">
        <v>0.96154000000000006</v>
      </c>
      <c r="H43" s="19">
        <v>0.75456000000000001</v>
      </c>
      <c r="I43" s="19">
        <v>0.62617999999999996</v>
      </c>
      <c r="J43" s="19">
        <v>1.9270100000000001</v>
      </c>
      <c r="K43" s="19">
        <v>1.52746</v>
      </c>
      <c r="L43" s="19">
        <v>1.3545400000000001</v>
      </c>
    </row>
    <row r="44" spans="1:12" x14ac:dyDescent="0.25">
      <c r="A44" s="20">
        <v>51</v>
      </c>
      <c r="B44" s="19">
        <v>0.2431275</v>
      </c>
      <c r="C44" s="19">
        <v>0.5259100000000001</v>
      </c>
      <c r="D44" s="19">
        <v>0.47553000000000001</v>
      </c>
      <c r="E44" s="19">
        <v>0.41527000000000003</v>
      </c>
      <c r="F44" s="19">
        <v>0.36549000000000004</v>
      </c>
      <c r="G44" s="19">
        <v>1.0401400000000001</v>
      </c>
      <c r="H44" s="19">
        <v>0.82530000000000003</v>
      </c>
      <c r="I44" s="19">
        <v>0.68513000000000002</v>
      </c>
      <c r="J44" s="19">
        <v>1.9912000000000001</v>
      </c>
      <c r="K44" s="19">
        <v>1.5916500000000002</v>
      </c>
      <c r="L44" s="19">
        <v>1.4108700000000001</v>
      </c>
    </row>
    <row r="45" spans="1:12" x14ac:dyDescent="0.25">
      <c r="A45" s="20">
        <v>52</v>
      </c>
      <c r="B45" s="19">
        <v>0.26796000000000003</v>
      </c>
      <c r="C45" s="19">
        <v>0.58443000000000001</v>
      </c>
      <c r="D45" s="19">
        <v>0.51090000000000002</v>
      </c>
      <c r="E45" s="19">
        <v>0.44409000000000004</v>
      </c>
      <c r="F45" s="19">
        <v>0.37334999999999996</v>
      </c>
      <c r="G45" s="19">
        <v>1.1266</v>
      </c>
      <c r="H45" s="19">
        <v>0.90127999999999997</v>
      </c>
      <c r="I45" s="19">
        <v>0.74800999999999995</v>
      </c>
      <c r="J45" s="19">
        <v>2.0488400000000002</v>
      </c>
      <c r="K45" s="19">
        <v>1.6492899999999999</v>
      </c>
      <c r="L45" s="19">
        <v>1.4619600000000001</v>
      </c>
    </row>
    <row r="46" spans="1:12" x14ac:dyDescent="0.25">
      <c r="A46" s="20">
        <v>53</v>
      </c>
      <c r="B46" s="19">
        <v>0.29568000000000005</v>
      </c>
      <c r="C46" s="19">
        <v>0.65449999999999997</v>
      </c>
      <c r="D46" s="19">
        <v>0.54757999999999996</v>
      </c>
      <c r="E46" s="19">
        <v>0.47422000000000003</v>
      </c>
      <c r="F46" s="19">
        <v>0.39562000000000003</v>
      </c>
      <c r="G46" s="19">
        <v>1.22092</v>
      </c>
      <c r="H46" s="19">
        <v>0.98381000000000007</v>
      </c>
      <c r="I46" s="19">
        <v>0.81613000000000002</v>
      </c>
      <c r="J46" s="19">
        <v>2.0973100000000002</v>
      </c>
      <c r="K46" s="19">
        <v>1.6977600000000002</v>
      </c>
      <c r="L46" s="19">
        <v>1.5038799999999999</v>
      </c>
    </row>
    <row r="47" spans="1:12" x14ac:dyDescent="0.25">
      <c r="A47" s="20">
        <v>54</v>
      </c>
      <c r="B47" s="19">
        <v>0.32744249999999997</v>
      </c>
      <c r="C47" s="19">
        <v>0.73919999999999997</v>
      </c>
      <c r="D47" s="19">
        <v>0.58818999999999999</v>
      </c>
      <c r="E47" s="19">
        <v>0.50697000000000003</v>
      </c>
      <c r="F47" s="19">
        <v>0.42313000000000001</v>
      </c>
      <c r="G47" s="19">
        <v>1.3244099999999999</v>
      </c>
      <c r="H47" s="19">
        <v>1.0742</v>
      </c>
      <c r="I47" s="19">
        <v>0.89080000000000015</v>
      </c>
      <c r="J47" s="19">
        <v>2.1339900000000003</v>
      </c>
      <c r="K47" s="19">
        <v>1.7331300000000001</v>
      </c>
      <c r="L47" s="19">
        <v>1.5366300000000002</v>
      </c>
    </row>
    <row r="48" spans="1:12" x14ac:dyDescent="0.25">
      <c r="A48" s="20">
        <v>55</v>
      </c>
      <c r="B48" s="19">
        <v>0.36266999999999999</v>
      </c>
      <c r="C48" s="19">
        <v>0.84160999999999997</v>
      </c>
      <c r="D48" s="19">
        <v>0.63273000000000001</v>
      </c>
      <c r="E48" s="19">
        <v>0.54103000000000001</v>
      </c>
      <c r="F48" s="19">
        <v>0.45326</v>
      </c>
      <c r="G48" s="19">
        <v>1.4357600000000001</v>
      </c>
      <c r="H48" s="19">
        <v>1.1698300000000001</v>
      </c>
      <c r="I48" s="19">
        <v>0.97071000000000007</v>
      </c>
      <c r="J48" s="19">
        <v>2.1549499999999999</v>
      </c>
      <c r="K48" s="19">
        <v>1.7554000000000001</v>
      </c>
      <c r="L48" s="19">
        <v>1.5562799999999999</v>
      </c>
    </row>
    <row r="49" spans="1:12" x14ac:dyDescent="0.25">
      <c r="A49" s="20">
        <v>56</v>
      </c>
      <c r="B49" s="19">
        <v>0.40309499999999998</v>
      </c>
      <c r="C49" s="19">
        <v>0.96480999999999995</v>
      </c>
      <c r="D49" s="19">
        <v>0.67988999999999999</v>
      </c>
      <c r="E49" s="19">
        <v>0.57640000000000002</v>
      </c>
      <c r="F49" s="19">
        <v>0.47946</v>
      </c>
      <c r="G49" s="19">
        <v>1.5589</v>
      </c>
      <c r="H49" s="19">
        <v>1.27332</v>
      </c>
      <c r="I49" s="19">
        <v>1.0571700000000002</v>
      </c>
      <c r="J49" s="19">
        <v>2.1588799999999999</v>
      </c>
      <c r="K49" s="19">
        <v>1.7593300000000001</v>
      </c>
      <c r="L49" s="19">
        <v>1.5589</v>
      </c>
    </row>
    <row r="50" spans="1:12" x14ac:dyDescent="0.25">
      <c r="A50" s="20">
        <v>57</v>
      </c>
      <c r="B50" s="19">
        <v>0.44987250000000006</v>
      </c>
      <c r="C50" s="19">
        <v>1.10649</v>
      </c>
      <c r="D50" s="19">
        <v>0.73098000000000007</v>
      </c>
      <c r="E50" s="19">
        <v>0.61570000000000003</v>
      </c>
      <c r="F50" s="19">
        <v>0.51221000000000005</v>
      </c>
      <c r="G50" s="19">
        <v>1.69252</v>
      </c>
      <c r="H50" s="19">
        <v>1.3859800000000002</v>
      </c>
      <c r="I50" s="19">
        <v>1.1488700000000001</v>
      </c>
      <c r="J50" s="19">
        <v>2.1405400000000001</v>
      </c>
      <c r="K50" s="19">
        <v>1.74099</v>
      </c>
      <c r="L50" s="19">
        <v>1.54318</v>
      </c>
    </row>
    <row r="51" spans="1:12" x14ac:dyDescent="0.25">
      <c r="A51" s="20">
        <v>58</v>
      </c>
      <c r="B51" s="19">
        <v>0.50300250000000002</v>
      </c>
      <c r="C51" s="19">
        <v>1.26126</v>
      </c>
      <c r="D51" s="19">
        <v>0.78600000000000003</v>
      </c>
      <c r="E51" s="19">
        <v>0.65631000000000006</v>
      </c>
      <c r="F51" s="19">
        <v>0.54757999999999996</v>
      </c>
      <c r="G51" s="19">
        <v>1.8444799999999999</v>
      </c>
      <c r="H51" s="19">
        <v>1.50912</v>
      </c>
      <c r="I51" s="19">
        <v>1.2523599999999999</v>
      </c>
      <c r="J51" s="19">
        <v>2.0999300000000001</v>
      </c>
      <c r="K51" s="19">
        <v>1.7016899999999999</v>
      </c>
      <c r="L51" s="19">
        <v>1.5078100000000001</v>
      </c>
    </row>
    <row r="52" spans="1:12" x14ac:dyDescent="0.25">
      <c r="A52" s="20">
        <v>59</v>
      </c>
      <c r="B52" s="19">
        <v>0.56421750000000004</v>
      </c>
      <c r="C52" s="19">
        <v>1.4553</v>
      </c>
      <c r="D52" s="19">
        <v>0.84626000000000001</v>
      </c>
      <c r="E52" s="19">
        <v>0.69954000000000005</v>
      </c>
      <c r="F52" s="19">
        <v>0.58426</v>
      </c>
      <c r="G52" s="19">
        <v>2.0095400000000003</v>
      </c>
      <c r="H52" s="19">
        <v>1.6414299999999999</v>
      </c>
      <c r="I52" s="19">
        <v>1.3624000000000001</v>
      </c>
      <c r="J52" s="19">
        <v>2.02657</v>
      </c>
      <c r="K52" s="19">
        <v>1.63226</v>
      </c>
      <c r="L52" s="19">
        <v>1.4475500000000001</v>
      </c>
    </row>
    <row r="53" spans="1:12" x14ac:dyDescent="0.25">
      <c r="A53" s="20">
        <v>60</v>
      </c>
      <c r="B53" s="19">
        <v>0.63351750000000007</v>
      </c>
      <c r="C53" s="19">
        <v>1.5307600000000001</v>
      </c>
      <c r="D53" s="19">
        <v>0.91176000000000001</v>
      </c>
      <c r="E53" s="19">
        <v>0.74539</v>
      </c>
      <c r="F53" s="19">
        <v>0.62224999999999997</v>
      </c>
      <c r="G53" s="19">
        <v>2.0986200000000004</v>
      </c>
      <c r="H53" s="19">
        <v>1.6768000000000001</v>
      </c>
      <c r="I53" s="19">
        <v>1.3912200000000001</v>
      </c>
      <c r="J53" s="19">
        <v>1.9126000000000001</v>
      </c>
      <c r="K53" s="19">
        <v>1.5287700000000002</v>
      </c>
      <c r="L53" s="19">
        <v>1.3545400000000001</v>
      </c>
    </row>
    <row r="54" spans="1:12" x14ac:dyDescent="0.25">
      <c r="A54" s="20">
        <v>61</v>
      </c>
      <c r="B54" s="19">
        <v>0.71436750000000004</v>
      </c>
      <c r="C54" s="19">
        <v>1.8526200000000002</v>
      </c>
      <c r="D54" s="19">
        <v>0.98250000000000004</v>
      </c>
      <c r="E54" s="19">
        <v>0.79517000000000004</v>
      </c>
      <c r="F54" s="19">
        <v>0.66286</v>
      </c>
      <c r="G54" s="19">
        <v>1.9204600000000001</v>
      </c>
      <c r="H54" s="19">
        <v>1.51698</v>
      </c>
      <c r="I54" s="19">
        <v>1.25891</v>
      </c>
      <c r="J54" s="19">
        <v>1.7514700000000001</v>
      </c>
      <c r="K54" s="19">
        <v>1.38205</v>
      </c>
      <c r="L54" s="19">
        <v>1.2261600000000001</v>
      </c>
    </row>
    <row r="55" spans="1:12" x14ac:dyDescent="0.25">
      <c r="A55" s="20">
        <v>62</v>
      </c>
      <c r="B55" s="19">
        <v>0.80676750000000008</v>
      </c>
      <c r="C55" s="19">
        <v>2.1968100000000002</v>
      </c>
      <c r="D55" s="19">
        <v>1.05979</v>
      </c>
      <c r="E55" s="19">
        <v>0.84626000000000001</v>
      </c>
      <c r="F55" s="19">
        <v>0.70609000000000011</v>
      </c>
      <c r="G55" s="19">
        <v>1.67811</v>
      </c>
      <c r="H55" s="19">
        <v>1.3021400000000001</v>
      </c>
      <c r="I55" s="19">
        <v>1.0807499999999999</v>
      </c>
      <c r="J55" s="19">
        <v>1.5300799999999999</v>
      </c>
      <c r="K55" s="19">
        <v>1.18686</v>
      </c>
      <c r="L55" s="19">
        <v>1.05193</v>
      </c>
    </row>
    <row r="56" spans="1:12" x14ac:dyDescent="0.25">
      <c r="A56" s="20">
        <v>63</v>
      </c>
      <c r="B56" s="19">
        <v>0.88068750000000007</v>
      </c>
      <c r="C56" s="19">
        <v>2.5202100000000001</v>
      </c>
      <c r="D56" s="19">
        <v>1.14232</v>
      </c>
      <c r="E56" s="19">
        <v>0.90127999999999997</v>
      </c>
      <c r="F56" s="19">
        <v>0.77159</v>
      </c>
      <c r="G56" s="19">
        <v>1.3427499999999999</v>
      </c>
      <c r="H56" s="19">
        <v>1.0139400000000001</v>
      </c>
      <c r="I56" s="19">
        <v>0.8410200000000001</v>
      </c>
      <c r="J56" s="19">
        <v>1.2235400000000001</v>
      </c>
      <c r="K56" s="19">
        <v>0.92486000000000002</v>
      </c>
      <c r="L56" s="19">
        <v>0.81875000000000009</v>
      </c>
    </row>
    <row r="57" spans="1:12" x14ac:dyDescent="0.25">
      <c r="A57" s="20">
        <v>64</v>
      </c>
      <c r="B57" s="19">
        <v>0.91591500000000015</v>
      </c>
      <c r="C57" s="19">
        <v>2.8905799999999999</v>
      </c>
      <c r="D57" s="19">
        <v>1.23271</v>
      </c>
      <c r="E57" s="19">
        <v>0.96023000000000003</v>
      </c>
      <c r="F57" s="19">
        <v>0.79910000000000003</v>
      </c>
      <c r="G57" s="19">
        <v>0.85281000000000007</v>
      </c>
      <c r="H57" s="19">
        <v>0.60522000000000009</v>
      </c>
      <c r="I57" s="19">
        <v>0.50173000000000001</v>
      </c>
      <c r="J57" s="19">
        <v>0.77683000000000002</v>
      </c>
      <c r="K57" s="19">
        <v>0.55151000000000006</v>
      </c>
      <c r="L57" s="19">
        <v>0.48863000000000001</v>
      </c>
    </row>
    <row r="58" spans="1:12" x14ac:dyDescent="0.25">
      <c r="A58" s="20">
        <v>65</v>
      </c>
      <c r="B58" s="19">
        <v>0.9517199999999999</v>
      </c>
      <c r="C58" s="19">
        <v>0</v>
      </c>
      <c r="D58" s="19">
        <v>1.3309600000000001</v>
      </c>
      <c r="E58" s="19">
        <v>1.0218</v>
      </c>
      <c r="F58" s="19">
        <v>0.87246000000000012</v>
      </c>
      <c r="G58" s="19">
        <v>0</v>
      </c>
      <c r="H58" s="19">
        <v>0</v>
      </c>
      <c r="I58" s="19">
        <v>0</v>
      </c>
      <c r="J58" s="19">
        <v>0</v>
      </c>
      <c r="K58" s="19">
        <v>0</v>
      </c>
      <c r="L58" s="19">
        <v>0</v>
      </c>
    </row>
    <row r="59" spans="1:12" x14ac:dyDescent="0.25">
      <c r="A59" s="20">
        <v>66</v>
      </c>
      <c r="B59" s="19">
        <v>0.98694750000000009</v>
      </c>
      <c r="C59" s="19">
        <v>0</v>
      </c>
      <c r="D59" s="19">
        <v>1.4370700000000001</v>
      </c>
      <c r="E59" s="19">
        <v>1.0872999999999999</v>
      </c>
      <c r="F59" s="19">
        <v>0.90520999999999996</v>
      </c>
      <c r="G59" s="19">
        <v>0</v>
      </c>
      <c r="H59" s="19">
        <v>0</v>
      </c>
      <c r="I59" s="19">
        <v>0</v>
      </c>
      <c r="J59" s="19">
        <v>0</v>
      </c>
      <c r="K59" s="19">
        <v>0</v>
      </c>
      <c r="L59" s="19">
        <v>0</v>
      </c>
    </row>
    <row r="60" spans="1:12" x14ac:dyDescent="0.25">
      <c r="A60" s="20">
        <v>67</v>
      </c>
      <c r="B60" s="19">
        <v>1.0227525</v>
      </c>
      <c r="C60" s="19">
        <v>0</v>
      </c>
      <c r="D60" s="19">
        <v>1.5523500000000001</v>
      </c>
      <c r="E60" s="19">
        <v>1.15673</v>
      </c>
      <c r="F60" s="19">
        <v>0.96547000000000005</v>
      </c>
      <c r="G60" s="19">
        <v>0</v>
      </c>
      <c r="H60" s="19">
        <v>0</v>
      </c>
      <c r="I60" s="19">
        <v>0</v>
      </c>
      <c r="J60" s="19">
        <v>0</v>
      </c>
      <c r="K60" s="19">
        <v>0</v>
      </c>
      <c r="L60" s="19">
        <v>0</v>
      </c>
    </row>
    <row r="61" spans="1:12" x14ac:dyDescent="0.25">
      <c r="A61" s="20">
        <v>68</v>
      </c>
      <c r="B61" s="19">
        <v>1.0585575</v>
      </c>
      <c r="C61" s="19">
        <v>0</v>
      </c>
      <c r="D61" s="19">
        <v>1.5680700000000001</v>
      </c>
      <c r="E61" s="19">
        <v>1.16852</v>
      </c>
      <c r="F61" s="19">
        <v>0.97333000000000003</v>
      </c>
      <c r="G61" s="19">
        <v>0</v>
      </c>
      <c r="H61" s="19">
        <v>0</v>
      </c>
      <c r="I61" s="19">
        <v>0</v>
      </c>
      <c r="J61" s="19">
        <v>0</v>
      </c>
      <c r="K61" s="19">
        <v>0</v>
      </c>
      <c r="L61" s="19">
        <v>0</v>
      </c>
    </row>
    <row r="62" spans="1:12" x14ac:dyDescent="0.25">
      <c r="A62" s="20">
        <v>69</v>
      </c>
      <c r="B62" s="19">
        <v>1.093785</v>
      </c>
      <c r="C62" s="19">
        <v>0</v>
      </c>
      <c r="D62" s="19">
        <v>1.01918</v>
      </c>
      <c r="E62" s="19">
        <v>0.75980000000000003</v>
      </c>
      <c r="F62" s="19">
        <v>0.80171999999999999</v>
      </c>
      <c r="G62" s="19">
        <v>0</v>
      </c>
      <c r="H62" s="19">
        <v>0</v>
      </c>
      <c r="I62" s="19">
        <v>0</v>
      </c>
      <c r="J62" s="19">
        <v>0</v>
      </c>
      <c r="K62" s="19">
        <v>0</v>
      </c>
      <c r="L62" s="19">
        <v>0</v>
      </c>
    </row>
    <row r="63" spans="1:12" x14ac:dyDescent="0.25">
      <c r="A63" s="20">
        <v>70</v>
      </c>
      <c r="B63" s="19">
        <v>0</v>
      </c>
      <c r="C63" s="19">
        <v>0</v>
      </c>
      <c r="D63" s="19">
        <v>0</v>
      </c>
      <c r="E63" s="19">
        <v>0</v>
      </c>
      <c r="F63" s="19">
        <v>0</v>
      </c>
      <c r="G63" s="19">
        <v>0</v>
      </c>
      <c r="H63" s="19">
        <v>0</v>
      </c>
      <c r="I63" s="19">
        <v>0</v>
      </c>
      <c r="J63" s="19">
        <v>0</v>
      </c>
      <c r="K63" s="19">
        <v>0</v>
      </c>
      <c r="L63" s="19">
        <v>0</v>
      </c>
    </row>
    <row r="64" spans="1:12" x14ac:dyDescent="0.25">
      <c r="A64" s="20">
        <v>71</v>
      </c>
      <c r="B64" s="19">
        <v>0</v>
      </c>
      <c r="C64" s="19">
        <v>0</v>
      </c>
      <c r="D64" s="19">
        <v>0</v>
      </c>
      <c r="E64" s="19">
        <v>0</v>
      </c>
      <c r="F64" s="19">
        <v>0</v>
      </c>
      <c r="G64" s="19">
        <v>0</v>
      </c>
      <c r="H64" s="19">
        <v>0</v>
      </c>
      <c r="I64" s="19">
        <v>0</v>
      </c>
      <c r="J64" s="19">
        <v>0</v>
      </c>
      <c r="K64" s="19">
        <v>0</v>
      </c>
      <c r="L64" s="19">
        <v>0</v>
      </c>
    </row>
    <row r="65" spans="1:12" x14ac:dyDescent="0.25">
      <c r="A65" s="20">
        <v>72</v>
      </c>
      <c r="B65" s="19">
        <v>0</v>
      </c>
      <c r="C65" s="19">
        <v>0</v>
      </c>
      <c r="D65" s="19">
        <v>0</v>
      </c>
      <c r="E65" s="19">
        <v>0</v>
      </c>
      <c r="F65" s="19">
        <v>0</v>
      </c>
      <c r="G65" s="19">
        <v>0</v>
      </c>
      <c r="H65" s="19">
        <v>0</v>
      </c>
      <c r="I65" s="19">
        <v>0</v>
      </c>
      <c r="J65" s="19">
        <v>0</v>
      </c>
      <c r="K65" s="19">
        <v>0</v>
      </c>
      <c r="L65" s="19">
        <v>0</v>
      </c>
    </row>
    <row r="66" spans="1:12" x14ac:dyDescent="0.25">
      <c r="A66" s="20">
        <v>73</v>
      </c>
      <c r="B66" s="19">
        <v>0</v>
      </c>
      <c r="C66" s="19">
        <v>0</v>
      </c>
      <c r="D66" s="19">
        <v>0</v>
      </c>
      <c r="E66" s="19">
        <v>0</v>
      </c>
      <c r="F66" s="19">
        <v>0</v>
      </c>
      <c r="G66" s="19">
        <v>0</v>
      </c>
      <c r="H66" s="19">
        <v>0</v>
      </c>
      <c r="I66" s="19">
        <v>0</v>
      </c>
      <c r="J66" s="19">
        <v>0</v>
      </c>
      <c r="K66" s="19">
        <v>0</v>
      </c>
      <c r="L66" s="19">
        <v>0</v>
      </c>
    </row>
    <row r="67" spans="1:12" x14ac:dyDescent="0.25">
      <c r="A67" s="20">
        <v>74</v>
      </c>
      <c r="B67" s="19">
        <v>0</v>
      </c>
      <c r="C67" s="19">
        <v>0</v>
      </c>
      <c r="D67" s="19">
        <v>0</v>
      </c>
      <c r="E67" s="19">
        <v>0</v>
      </c>
      <c r="F67" s="19">
        <v>0</v>
      </c>
      <c r="G67" s="19">
        <v>0</v>
      </c>
      <c r="H67" s="19">
        <v>0</v>
      </c>
      <c r="I67" s="19">
        <v>0</v>
      </c>
      <c r="J67" s="19">
        <v>0</v>
      </c>
      <c r="K67" s="19">
        <v>0</v>
      </c>
      <c r="L67" s="19">
        <v>0</v>
      </c>
    </row>
    <row r="68" spans="1:12" x14ac:dyDescent="0.25">
      <c r="A68" s="20">
        <v>75</v>
      </c>
      <c r="B68" s="19">
        <v>0</v>
      </c>
      <c r="C68" s="19">
        <v>0</v>
      </c>
      <c r="D68" s="19">
        <v>0</v>
      </c>
      <c r="E68" s="19">
        <v>0</v>
      </c>
      <c r="F68" s="19">
        <v>0</v>
      </c>
      <c r="G68" s="19">
        <v>0</v>
      </c>
      <c r="H68" s="19">
        <v>0</v>
      </c>
      <c r="I68" s="19">
        <v>0</v>
      </c>
      <c r="J68" s="19">
        <v>0</v>
      </c>
      <c r="K68" s="19">
        <v>0</v>
      </c>
      <c r="L68" s="19">
        <v>0</v>
      </c>
    </row>
  </sheetData>
  <sheetProtection algorithmName="SHA-512" hashValue="Ota1ZWmdjcVzX/B+TAEZdUBjhlpB83RhlBk+Wks5u1lsVtDqdJr6v0APVm21O6GXWZyubpmneqMUynkZLxLe/Q==" saltValue="6a99WKTk/UYbxoUyoxctNA==" spinCount="100000" sheet="1" objects="1" scenarios="1" selectLockedCells="1"/>
  <mergeCells count="5">
    <mergeCell ref="A4:A6"/>
    <mergeCell ref="B4:C4"/>
    <mergeCell ref="D4:F4"/>
    <mergeCell ref="G4:I4"/>
    <mergeCell ref="J4:L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e38548d-c34f-4b92-b5e4-1a6d88eeb1ff" xsi:nil="true"/>
    <_dlc_DocId xmlns="98f83fe3-75af-47a5-a9be-8067edad2e2b">MEX024-508857262-24560</_dlc_DocId>
    <_dlc_DocIdUrl xmlns="98f83fe3-75af-47a5-a9be-8067edad2e2b">
      <Url>https://australiansuper.sharepoint.com/teams/MEX-SDComms/_layouts/15/DocIdRedir.aspx?ID=MEX024-508857262-24560</Url>
      <Description>MEX024-508857262-24560</Description>
    </_dlc_DocIdUrl>
    <lcf76f155ced4ddcb4097134ff3c332f xmlns="fe4a4c8b-39ad-4780-98cf-ea868217df6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448DBF4CB27D4C8115DE6D6916CA97" ma:contentTypeVersion="16" ma:contentTypeDescription="Create a new document." ma:contentTypeScope="" ma:versionID="bfa853cdc170d962e516633ef4eb17f1">
  <xsd:schema xmlns:xsd="http://www.w3.org/2001/XMLSchema" xmlns:xs="http://www.w3.org/2001/XMLSchema" xmlns:p="http://schemas.microsoft.com/office/2006/metadata/properties" xmlns:ns2="98f83fe3-75af-47a5-a9be-8067edad2e2b" xmlns:ns3="fe4a4c8b-39ad-4780-98cf-ea868217df62" xmlns:ns4="2e38548d-c34f-4b92-b5e4-1a6d88eeb1ff" targetNamespace="http://schemas.microsoft.com/office/2006/metadata/properties" ma:root="true" ma:fieldsID="09339c19d4fb060bd56c92b8c9b638b0" ns2:_="" ns3:_="" ns4:_="">
    <xsd:import namespace="98f83fe3-75af-47a5-a9be-8067edad2e2b"/>
    <xsd:import namespace="fe4a4c8b-39ad-4780-98cf-ea868217df62"/>
    <xsd:import namespace="2e38548d-c34f-4b92-b5e4-1a6d88eeb1f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2:SharedWithUsers" minOccurs="0"/>
                <xsd:element ref="ns2:SharedWithDetails" minOccurs="0"/>
                <xsd:element ref="ns3:MediaServiceAutoKeyPoints" minOccurs="0"/>
                <xsd:element ref="ns3:MediaServiceKeyPoints" minOccurs="0"/>
                <xsd:element ref="ns3:MediaServiceOCR" minOccurs="0"/>
                <xsd:element ref="ns3:MediaServiceLocation"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83fe3-75af-47a5-a9be-8067edad2e2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4a4c8b-39ad-4780-98cf-ea868217df6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0d739ea-1962-432e-8e5f-e9e593ab3eb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e38548d-c34f-4b92-b5e4-1a6d88eeb1ff"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708a9ec1-24cd-4de1-86dd-35d500f205a0}" ma:internalName="TaxCatchAll" ma:showField="CatchAllData" ma:web="98f83fe3-75af-47a5-a9be-8067edad2e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813979-E655-4A82-B9FE-C28451C15660}">
  <ds:schemaRefs>
    <ds:schemaRef ds:uri="http://schemas.microsoft.com/office/2006/metadata/properties"/>
    <ds:schemaRef ds:uri="http://schemas.microsoft.com/office/infopath/2007/PartnerControls"/>
    <ds:schemaRef ds:uri="05c3b009-07a7-41e1-9067-dad62aaf44d0"/>
    <ds:schemaRef ds:uri="2e38548d-c34f-4b92-b5e4-1a6d88eeb1ff"/>
    <ds:schemaRef ds:uri="ba504d24-e068-4a3f-9fe2-7a9f74e1b3dc"/>
  </ds:schemaRefs>
</ds:datastoreItem>
</file>

<file path=customXml/itemProps2.xml><?xml version="1.0" encoding="utf-8"?>
<ds:datastoreItem xmlns:ds="http://schemas.openxmlformats.org/officeDocument/2006/customXml" ds:itemID="{33590AC9-80F7-4AC0-858E-03970A44263C}"/>
</file>

<file path=customXml/itemProps3.xml><?xml version="1.0" encoding="utf-8"?>
<ds:datastoreItem xmlns:ds="http://schemas.openxmlformats.org/officeDocument/2006/customXml" ds:itemID="{0A1DA196-6D6F-4176-A9C8-6472B866E019}">
  <ds:schemaRefs>
    <ds:schemaRef ds:uri="http://schemas.microsoft.com/sharepoint/events"/>
  </ds:schemaRefs>
</ds:datastoreItem>
</file>

<file path=customXml/itemProps4.xml><?xml version="1.0" encoding="utf-8"?>
<ds:datastoreItem xmlns:ds="http://schemas.openxmlformats.org/officeDocument/2006/customXml" ds:itemID="{DED520AD-8933-43E9-B812-7C6DA124DD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Nguyen, Benjamin</dc:creator>
  <cp:lastModifiedBy>Nguyen, Benjamin</cp:lastModifiedBy>
  <dcterms:created xsi:type="dcterms:W3CDTF">2015-06-05T18:17:20Z</dcterms:created>
  <dcterms:modified xsi:type="dcterms:W3CDTF">2022-07-26T05:49:28Z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716faf-1e7d-4a5b-95e3-d997bb133f5e_Enabled">
    <vt:lpwstr>true</vt:lpwstr>
  </property>
  <property fmtid="{D5CDD505-2E9C-101B-9397-08002B2CF9AE}" pid="3" name="MSIP_Label_5e716faf-1e7d-4a5b-95e3-d997bb133f5e_SetDate">
    <vt:lpwstr>2021-07-27T06:32:13Z</vt:lpwstr>
  </property>
  <property fmtid="{D5CDD505-2E9C-101B-9397-08002B2CF9AE}" pid="4" name="MSIP_Label_5e716faf-1e7d-4a5b-95e3-d997bb133f5e_Method">
    <vt:lpwstr>Standard</vt:lpwstr>
  </property>
  <property fmtid="{D5CDD505-2E9C-101B-9397-08002B2CF9AE}" pid="5" name="MSIP_Label_5e716faf-1e7d-4a5b-95e3-d997bb133f5e_Name">
    <vt:lpwstr>Internal</vt:lpwstr>
  </property>
  <property fmtid="{D5CDD505-2E9C-101B-9397-08002B2CF9AE}" pid="6" name="MSIP_Label_5e716faf-1e7d-4a5b-95e3-d997bb133f5e_SiteId">
    <vt:lpwstr>2e2e956a-b164-4b2b-904b-0be8fefb4b4b</vt:lpwstr>
  </property>
  <property fmtid="{D5CDD505-2E9C-101B-9397-08002B2CF9AE}" pid="7" name="MSIP_Label_5e716faf-1e7d-4a5b-95e3-d997bb133f5e_ActionId">
    <vt:lpwstr>399107f5-5268-43b2-8840-9887584568ac</vt:lpwstr>
  </property>
  <property fmtid="{D5CDD505-2E9C-101B-9397-08002B2CF9AE}" pid="8" name="MSIP_Label_5e716faf-1e7d-4a5b-95e3-d997bb133f5e_ContentBits">
    <vt:lpwstr>0</vt:lpwstr>
  </property>
  <property fmtid="{D5CDD505-2E9C-101B-9397-08002B2CF9AE}" pid="9" name="LINKTEK-CHUNK-1">
    <vt:lpwstr>010021{"F":2,"I":"113B-5A76-122E-6BFE"}</vt:lpwstr>
  </property>
  <property fmtid="{D5CDD505-2E9C-101B-9397-08002B2CF9AE}" pid="10" name="ContentTypeId">
    <vt:lpwstr>0x010100B5448DBF4CB27D4C8115DE6D6916CA97</vt:lpwstr>
  </property>
  <property fmtid="{D5CDD505-2E9C-101B-9397-08002B2CF9AE}" pid="11" name="Order">
    <vt:r8>100</vt:r8>
  </property>
  <property fmtid="{D5CDD505-2E9C-101B-9397-08002B2CF9AE}" pid="12" name="_dlc_DocIdItemGuid">
    <vt:lpwstr>9309156f-d1f8-45a8-b58b-601042f6ae19</vt:lpwstr>
  </property>
  <property fmtid="{D5CDD505-2E9C-101B-9397-08002B2CF9AE}" pid="13" name="MediaServiceImageTags">
    <vt:lpwstr/>
  </property>
</Properties>
</file>