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mc:AlternateContent xmlns:mc="http://schemas.openxmlformats.org/markup-compatibility/2006">
    <mc:Choice Requires="x15">
      <x15ac:absPath xmlns:x15ac="http://schemas.microsoft.com/office/spreadsheetml/2010/11/ac" url="R:\Membership\Insurance\NEW BUSINESS QUOTES\_List of Tenders\Select Sums Insured and Premiums Calc\Service Stream\"/>
    </mc:Choice>
  </mc:AlternateContent>
  <xr:revisionPtr revIDLastSave="0" documentId="13_ncr:1_{1542AAD5-03E9-4B6A-B7CC-40B31F9E3FC1}" xr6:coauthVersionLast="47" xr6:coauthVersionMax="47" xr10:uidLastSave="{00000000-0000-0000-0000-000000000000}"/>
  <workbookProtection workbookAlgorithmName="SHA-512" workbookHashValue="P4UOgLu7/aoGo3dMuI/HAHF82dAV6tT/UswMzOzNSoI0to3l7Wcd/uzGGx4F9HqHFpa39eU53yK+EpVQVR0RSQ==" workbookSaltValue="Tzb2D+kmn9PO+P+vIf+81A==" workbookSpinCount="100000" lockStructure="1"/>
  <bookViews>
    <workbookView xWindow="28697" yWindow="-103" windowWidth="51806" windowHeight="21206" tabRatio="719" xr2:uid="{2BACA7B8-42CD-44CF-96B3-5D8F748EC646}"/>
  </bookViews>
  <sheets>
    <sheet name="Summary" sheetId="18" r:id="rId1"/>
    <sheet name="Calculations" sheetId="3" state="veryHidden" r:id="rId2"/>
    <sheet name="Staging" sheetId="15" state="veryHidden" r:id="rId3"/>
    <sheet name="Rates 2020" sheetId="6" state="veryHidden" r:id="rId4"/>
  </sheets>
  <externalReferences>
    <externalReference r:id="rId5"/>
    <externalReference r:id="rId6"/>
  </externalReferences>
  <definedNames>
    <definedName name="_AMO_UniqueIdentifier" hidden="1">"'b36bc8c7-dcf1-425e-8dd9-1f929809a8f3'"</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0</definedName>
    <definedName name="_Sort" localSheetId="0" hidden="1">[1]Data!#REF!</definedName>
    <definedName name="_Sort" hidden="1">[2]Data!#REF!</definedName>
    <definedName name="AS2DocOpenMode" hidden="1">"AS2DocumentEdit"</definedName>
    <definedName name="Data_Ages" localSheetId="0">#REF!</definedName>
    <definedName name="Data_Ages">#REF!</definedName>
    <definedName name="Data_BenefitCodes" localSheetId="0">#REF!</definedName>
    <definedName name="Data_BenefitCodes">#REF!</definedName>
    <definedName name="Data_Rates" localSheetId="0">#REF!</definedName>
    <definedName name="Data_Rat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3" l="1"/>
  <c r="E65" i="3" l="1"/>
  <c r="E64" i="3"/>
  <c r="E61" i="3"/>
  <c r="D61" i="3"/>
  <c r="C61" i="3"/>
  <c r="C14" i="3"/>
  <c r="C13" i="3"/>
  <c r="C12" i="3"/>
  <c r="C10" i="3"/>
  <c r="C9" i="3"/>
  <c r="C11" i="3" l="1"/>
  <c r="E66" i="3"/>
  <c r="D43" i="3" l="1"/>
  <c r="C70" i="3" l="1"/>
  <c r="E70" i="3"/>
  <c r="D70" i="3"/>
  <c r="K12" i="18" s="1"/>
  <c r="I19" i="18" l="1"/>
  <c r="K18" i="18"/>
  <c r="K11" i="18"/>
  <c r="I13" i="18"/>
  <c r="C2" i="3" l="1"/>
  <c r="C4" i="3" l="1" a="1"/>
  <c r="C4" i="3" s="1"/>
  <c r="D3" i="3" s="1"/>
  <c r="D33" i="3"/>
  <c r="C39" i="3" l="1"/>
  <c r="H49" i="3" s="1"/>
  <c r="E23" i="3"/>
  <c r="D4" i="3" a="1"/>
  <c r="D4" i="3" s="1"/>
  <c r="E25" i="3"/>
  <c r="E22" i="3"/>
  <c r="D37" i="3"/>
  <c r="D23" i="3"/>
  <c r="C22" i="3"/>
  <c r="E21" i="3"/>
  <c r="E20" i="3" s="1"/>
  <c r="E33" i="3"/>
  <c r="C33" i="3"/>
  <c r="D22" i="3"/>
  <c r="E19" i="3"/>
  <c r="C37" i="3"/>
  <c r="C23" i="3"/>
  <c r="D32" i="3"/>
  <c r="D24" i="3"/>
  <c r="C34" i="3"/>
  <c r="C35" i="3" s="1"/>
  <c r="C36" i="3" s="1"/>
  <c r="E26" i="3"/>
  <c r="D19" i="3"/>
  <c r="D31" i="3" s="1"/>
  <c r="C24" i="3"/>
  <c r="C21" i="3"/>
  <c r="C20" i="3" s="1"/>
  <c r="D34" i="3"/>
  <c r="C30" i="3"/>
  <c r="E24" i="3"/>
  <c r="E30" i="3"/>
  <c r="C32" i="3"/>
  <c r="D30" i="3"/>
  <c r="E32" i="3"/>
  <c r="D21" i="3"/>
  <c r="D20" i="3" s="1"/>
  <c r="C15" i="3"/>
  <c r="C16" i="3" s="1"/>
  <c r="D42" i="3" s="1"/>
  <c r="C19" i="3"/>
  <c r="C31" i="3" s="1"/>
  <c r="E41" i="3" l="1"/>
  <c r="E42" i="3" s="1"/>
  <c r="E68" i="3"/>
  <c r="E29" i="3" s="1"/>
  <c r="E56" i="3" s="1"/>
  <c r="C29" i="3"/>
  <c r="C52" i="3" s="1"/>
  <c r="E46" i="3"/>
  <c r="D68" i="3"/>
  <c r="D69" i="3" s="1"/>
  <c r="H47" i="3"/>
  <c r="H48" i="3"/>
  <c r="D35" i="3"/>
  <c r="D36" i="3" s="1"/>
  <c r="C68" i="3"/>
  <c r="C69" i="3" s="1"/>
  <c r="E13" i="18"/>
  <c r="C13" i="18"/>
  <c r="C42" i="3"/>
  <c r="C15" i="18"/>
  <c r="E31" i="3"/>
  <c r="E22" i="18"/>
  <c r="E23" i="18" s="1"/>
  <c r="E43" i="3"/>
  <c r="C47" i="3"/>
  <c r="D47" i="3"/>
  <c r="C48" i="3"/>
  <c r="C49" i="3"/>
  <c r="D49" i="3"/>
  <c r="D48" i="3"/>
  <c r="E69" i="3" l="1"/>
  <c r="D29" i="3"/>
  <c r="D52" i="3" s="1"/>
  <c r="D53" i="3" s="1"/>
  <c r="C56" i="3"/>
  <c r="C57" i="3" s="1"/>
  <c r="F15" i="18" s="1"/>
  <c r="E52" i="3"/>
  <c r="D62" i="3"/>
  <c r="J12" i="18" s="1"/>
  <c r="C62" i="3"/>
  <c r="J11" i="18" s="1"/>
  <c r="C53" i="3"/>
  <c r="F25" i="18"/>
  <c r="E71" i="3"/>
  <c r="G25" i="18" l="1"/>
  <c r="D56" i="3"/>
  <c r="D58" i="3" s="1"/>
  <c r="E19" i="18" s="1"/>
  <c r="C58" i="3"/>
  <c r="E16" i="18" s="1"/>
  <c r="C71" i="3"/>
  <c r="G14" i="18" s="1"/>
  <c r="F14" i="18"/>
  <c r="E58" i="3"/>
  <c r="E27" i="18" s="1"/>
  <c r="E48" i="3"/>
  <c r="E47" i="3"/>
  <c r="E57" i="3" l="1"/>
  <c r="F26" i="18" s="1"/>
  <c r="F17" i="18"/>
  <c r="D57" i="3"/>
  <c r="F18" i="18" s="1"/>
  <c r="D71" i="3"/>
  <c r="E53" i="3"/>
  <c r="E49" i="3"/>
  <c r="G17" i="18" l="1"/>
  <c r="E62" i="3"/>
  <c r="J18" i="1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<sst xmlns="http://schemas.openxmlformats.org/spreadsheetml/2006/main" count="511" uniqueCount="201">
  <si>
    <t>Weekly premium per $10,000 sum insured (Death and TPD) and per $100 of monthly benefit (IP)</t>
  </si>
  <si>
    <t>Rounded to 3 decimals for Death and TPD and 3 decimals for IP</t>
  </si>
  <si>
    <t>Age Attained</t>
  </si>
  <si>
    <t>DEATH AND TPD</t>
  </si>
  <si>
    <t>2 year benefit period</t>
  </si>
  <si>
    <t>5 year benefit period</t>
  </si>
  <si>
    <t>TO AGE 65 benefit period</t>
  </si>
  <si>
    <t>DEATH</t>
  </si>
  <si>
    <t>TPD</t>
  </si>
  <si>
    <t>IP - 30 days</t>
  </si>
  <si>
    <t>IP - 60 days</t>
  </si>
  <si>
    <t>IP - 90 days</t>
  </si>
  <si>
    <t>SE_STD_D</t>
  </si>
  <si>
    <t>SE_STD_T</t>
  </si>
  <si>
    <t>SE_STD_2_30</t>
  </si>
  <si>
    <t>SE_STD_2_60</t>
  </si>
  <si>
    <t>SE_STD_2_90</t>
  </si>
  <si>
    <t>SE_STD_5_30</t>
  </si>
  <si>
    <t>SE_STD_5_60</t>
  </si>
  <si>
    <t>SE_STD_5_90</t>
  </si>
  <si>
    <t>SE_STD_65_30</t>
  </si>
  <si>
    <t>SE_STD_65_60</t>
  </si>
  <si>
    <t>SE_STD_65_90</t>
  </si>
  <si>
    <t>Date of Birth</t>
  </si>
  <si>
    <t>Annual Salary</t>
  </si>
  <si>
    <t>With AAL</t>
  </si>
  <si>
    <t>Weekly premium</t>
  </si>
  <si>
    <t>Without AAL</t>
  </si>
  <si>
    <t>Fixed Cover</t>
  </si>
  <si>
    <t>Death</t>
  </si>
  <si>
    <t>IP</t>
  </si>
  <si>
    <t>Sum Insured</t>
  </si>
  <si>
    <t>Age Last Birthday</t>
  </si>
  <si>
    <t>% x Sal x FYS</t>
  </si>
  <si>
    <t>D</t>
  </si>
  <si>
    <t>Design</t>
  </si>
  <si>
    <t>Work_Rating</t>
  </si>
  <si>
    <t>%</t>
  </si>
  <si>
    <t>FYS</t>
  </si>
  <si>
    <t>Cessation_Age</t>
  </si>
  <si>
    <t>AAL</t>
  </si>
  <si>
    <t>Max</t>
  </si>
  <si>
    <t>Gender</t>
  </si>
  <si>
    <t>Uni-sex</t>
  </si>
  <si>
    <t>Employer</t>
  </si>
  <si>
    <t>D_FYS</t>
  </si>
  <si>
    <t>D_Cessation_Age</t>
  </si>
  <si>
    <t>D_Design</t>
  </si>
  <si>
    <t>D_%</t>
  </si>
  <si>
    <t>D_AAL</t>
  </si>
  <si>
    <t>D_Max</t>
  </si>
  <si>
    <t>TPD_FYS</t>
  </si>
  <si>
    <t>TPD_Cessation_Age</t>
  </si>
  <si>
    <t>TPD_Design</t>
  </si>
  <si>
    <t>TPD_%</t>
  </si>
  <si>
    <t>TPD_AAL</t>
  </si>
  <si>
    <t>TPD_Max</t>
  </si>
  <si>
    <t>IP_Cessation_Age</t>
  </si>
  <si>
    <t>IP_Benfit_Period</t>
  </si>
  <si>
    <t>IP_Waiting_Period</t>
  </si>
  <si>
    <t>IP_Design</t>
  </si>
  <si>
    <t>IP_%</t>
  </si>
  <si>
    <t>IP_AAL</t>
  </si>
  <si>
    <t>IP_Max</t>
  </si>
  <si>
    <t>STD</t>
  </si>
  <si>
    <t>% Occupation loading factor from STD</t>
  </si>
  <si>
    <t>Multiple of Salary</t>
  </si>
  <si>
    <t>Death Cover</t>
  </si>
  <si>
    <t>TPD Cover</t>
  </si>
  <si>
    <t>IP Cover</t>
  </si>
  <si>
    <t>Non-Default Design</t>
  </si>
  <si>
    <t>Today's Date</t>
  </si>
  <si>
    <t>Employer-Category</t>
  </si>
  <si>
    <t>Individual Work Rating</t>
  </si>
  <si>
    <t>Your Death and TPD cover is based on the following formula:</t>
  </si>
  <si>
    <t>Category Work Rating</t>
  </si>
  <si>
    <t>Work Rating</t>
  </si>
  <si>
    <t>Category</t>
  </si>
  <si>
    <t>60 days</t>
  </si>
  <si>
    <t>Selected Benefit Period</t>
  </si>
  <si>
    <t>Selected Waiting Period</t>
  </si>
  <si>
    <t>E-C Listing Match</t>
  </si>
  <si>
    <t>Disclaimer?</t>
  </si>
  <si>
    <t>Professional</t>
  </si>
  <si>
    <t>IP List</t>
  </si>
  <si>
    <t>30 days</t>
  </si>
  <si>
    <t>90 days</t>
  </si>
  <si>
    <t>Weekly cost of cover:</t>
  </si>
  <si>
    <t>Basic Cover</t>
  </si>
  <si>
    <t>Death cover amount:</t>
  </si>
  <si>
    <t>TPD cover amount:</t>
  </si>
  <si>
    <t>Category Name</t>
  </si>
  <si>
    <t>Basic Cover Details:</t>
  </si>
  <si>
    <t>Member Details:</t>
  </si>
  <si>
    <t>Future Service End Date</t>
  </si>
  <si>
    <t>&lt;</t>
  </si>
  <si>
    <t>Orange</t>
  </si>
  <si>
    <t>Yellow</t>
  </si>
  <si>
    <t>White</t>
  </si>
  <si>
    <t>Calculated on Sheet</t>
  </si>
  <si>
    <t>REMOVE THIS ON EMPLOYER SHEETS</t>
  </si>
  <si>
    <t>Cell Fill Colour Key:</t>
  </si>
  <si>
    <t>Blue</t>
  </si>
  <si>
    <t>Staging Sheet</t>
  </si>
  <si>
    <t>Member Input Sheet</t>
  </si>
  <si>
    <t>Rates Sheet(s)</t>
  </si>
  <si>
    <t>Best Work Rating</t>
  </si>
  <si>
    <t>Weekly Rates</t>
  </si>
  <si>
    <t>Occupation Loading Factors</t>
  </si>
  <si>
    <t>Selected IP</t>
  </si>
  <si>
    <t>2-year benefit period IP</t>
  </si>
  <si>
    <t>5-year benefit period IP</t>
  </si>
  <si>
    <t>To-age-65 IP</t>
  </si>
  <si>
    <t>Fixed</t>
  </si>
  <si>
    <t>D_Fixed</t>
  </si>
  <si>
    <t>TPD_Fixed</t>
  </si>
  <si>
    <t>IP_Fixed</t>
  </si>
  <si>
    <t>Age Based Scale</t>
  </si>
  <si>
    <t>Multiple of Age Based Scale</t>
  </si>
  <si>
    <t>% x Salary</t>
  </si>
  <si>
    <t>DTPD Designs:</t>
  </si>
  <si>
    <t>IP Designs:</t>
  </si>
  <si>
    <t>TPD_Multiple</t>
  </si>
  <si>
    <t>D_Multiple</t>
  </si>
  <si>
    <t>IP_AgeBasedMultiple</t>
  </si>
  <si>
    <t>TPD_AgeBasedMultiple</t>
  </si>
  <si>
    <t>D_AgeBasedMultiple</t>
  </si>
  <si>
    <t># of Categories</t>
  </si>
  <si>
    <t>No basic cover</t>
  </si>
  <si>
    <t>Death Design</t>
  </si>
  <si>
    <t>TPD Design</t>
  </si>
  <si>
    <t>Rate_Type</t>
  </si>
  <si>
    <t>Income Protection Design</t>
  </si>
  <si>
    <t>Type</t>
  </si>
  <si>
    <t>Cover</t>
  </si>
  <si>
    <t>Aged Based Scale</t>
  </si>
  <si>
    <t>Multiple</t>
  </si>
  <si>
    <t>AgeBasedMultiple</t>
  </si>
  <si>
    <t>Sums Insured Variables</t>
  </si>
  <si>
    <t>Years of Future Service</t>
  </si>
  <si>
    <t>Sums Insured (unrounded)</t>
  </si>
  <si>
    <t>Codes</t>
  </si>
  <si>
    <r>
      <rPr>
        <b/>
        <sz val="18"/>
        <color rgb="FF171C94"/>
        <rFont val="Arial"/>
        <family val="2"/>
      </rPr>
      <t>Web</t>
    </r>
    <r>
      <rPr>
        <sz val="18"/>
        <color rgb="FF171C94"/>
        <rFont val="Arial"/>
        <family val="2"/>
      </rPr>
      <t xml:space="preserve">    australiansuper.com/select</t>
    </r>
  </si>
  <si>
    <r>
      <rPr>
        <b/>
        <sz val="18"/>
        <color rgb="FF171C94"/>
        <rFont val="Arial"/>
        <family val="2"/>
      </rPr>
      <t>Email</t>
    </r>
    <r>
      <rPr>
        <sz val="18"/>
        <color rgb="FF171C94"/>
        <rFont val="Arial"/>
        <family val="2"/>
      </rPr>
      <t xml:space="preserve">  as.select@australiansuper.com</t>
    </r>
  </si>
  <si>
    <t>Contact us</t>
  </si>
  <si>
    <t xml:space="preserve"> </t>
  </si>
  <si>
    <t>You may be required to provide detailed health information for the Insurer 
to consider if you apply for cover. Terms and conditions apply.</t>
  </si>
  <si>
    <t>Please select a waiting period</t>
  </si>
  <si>
    <r>
      <t xml:space="preserve">This is your </t>
    </r>
    <r>
      <rPr>
        <b/>
        <sz val="11"/>
        <color rgb="FF53565A"/>
        <rFont val="Arial"/>
        <family val="2"/>
      </rPr>
      <t>applied</t>
    </r>
    <r>
      <rPr>
        <sz val="11"/>
        <color rgb="FF53565A"/>
        <rFont val="Arial"/>
        <family val="2"/>
      </rPr>
      <t xml:space="preserve"> work rating:</t>
    </r>
  </si>
  <si>
    <t>Please select a benefit payment period</t>
  </si>
  <si>
    <t xml:space="preserve">If your category and individual work ratings are different, we’ll apply the work rating that’s less expensive to calculate the cost of your cover. </t>
  </si>
  <si>
    <r>
      <t xml:space="preserve">Your </t>
    </r>
    <r>
      <rPr>
        <b/>
        <sz val="11"/>
        <color rgb="FF53565A"/>
        <rFont val="Arial"/>
        <family val="2"/>
      </rPr>
      <t>category work rating</t>
    </r>
    <r>
      <rPr>
        <sz val="11"/>
        <color rgb="FF53565A"/>
        <rFont val="Arial"/>
        <family val="2"/>
      </rPr>
      <t xml:space="preserve"> (unique to your Select employer) is</t>
    </r>
  </si>
  <si>
    <t>Weekly cost of TPD cover</t>
  </si>
  <si>
    <t>Weekly cost of Death cover</t>
  </si>
  <si>
    <t>TPD Cover amount</t>
  </si>
  <si>
    <t>Death Cover amount</t>
  </si>
  <si>
    <t>Date of birth</t>
  </si>
  <si>
    <t>Specified cover amounts and costs</t>
  </si>
  <si>
    <t>Basic Death and Total &amp; Permanent Disablement (TPD) cover and costs</t>
  </si>
  <si>
    <t>If you would like to know the cost for a specific amount of cover, 
please enter your details in the orange fields in Section A and the cover amounts you want to calculate in the orange fields in Section C below.</t>
  </si>
  <si>
    <t>What’s the cost of the additional cover that I request?</t>
  </si>
  <si>
    <t>What's my basic cover and how much will it cost?</t>
  </si>
  <si>
    <t xml:space="preserve">Enter your details in the orange fields below. Basic cover and costs appear in Section B. </t>
  </si>
  <si>
    <t>C. Cost of any amount of cover</t>
  </si>
  <si>
    <t>B. Basic cover and the cost of it</t>
  </si>
  <si>
    <t>Default Cover ends at age</t>
  </si>
  <si>
    <t>Default Cover End Age Check</t>
  </si>
  <si>
    <t>Specific Cover Age Check</t>
  </si>
  <si>
    <t>Over AAL Check</t>
  </si>
  <si>
    <t>Blue Collar</t>
  </si>
  <si>
    <t>White Collar</t>
  </si>
  <si>
    <t>Rates</t>
  </si>
  <si>
    <t>Age</t>
  </si>
  <si>
    <t>Location</t>
  </si>
  <si>
    <r>
      <rPr>
        <b/>
        <sz val="18"/>
        <color rgb="FF171C94"/>
        <rFont val="Arial"/>
        <family val="2"/>
      </rPr>
      <t xml:space="preserve">Call </t>
    </r>
    <r>
      <rPr>
        <sz val="18"/>
        <color rgb="FF171C94"/>
        <rFont val="Arial"/>
        <family val="2"/>
      </rPr>
      <t xml:space="preserve">    1300 667 387 </t>
    </r>
  </si>
  <si>
    <t>Weekly cost of Income Protection</t>
  </si>
  <si>
    <t>Basic Income Protection and costs</t>
  </si>
  <si>
    <t>Monthly Income Protection amount</t>
  </si>
  <si>
    <t>Your Monthly Income Protection is based on the following formula:</t>
  </si>
  <si>
    <t>Monthly Income Protection amount:</t>
  </si>
  <si>
    <t>A. Your details (complete all orange fields)</t>
  </si>
  <si>
    <r>
      <rPr>
        <sz val="11"/>
        <color rgb="FF53565A"/>
        <rFont val="Arial Bold"/>
      </rPr>
      <t>Annual (before-tax) salary*</t>
    </r>
    <r>
      <rPr>
        <sz val="11"/>
        <color rgb="FF53565A"/>
        <rFont val="Arial"/>
        <family val="2"/>
      </rPr>
      <t>, excluding employer super contributions</t>
    </r>
  </si>
  <si>
    <t>* If your basic cover is salary based, your employer will provide us with your salary to calculate your basic cover.</t>
  </si>
  <si>
    <r>
      <rPr>
        <sz val="11"/>
        <color rgb="FF53565A"/>
        <rFont val="Arial Bold"/>
      </rPr>
      <t xml:space="preserve">Select your individual work rating
</t>
    </r>
    <r>
      <rPr>
        <sz val="11"/>
        <color rgb="FF53565A"/>
        <rFont val="Arial"/>
        <family val="2"/>
      </rPr>
      <t>It's Blue Collar unless you've applied to change it.</t>
    </r>
  </si>
  <si>
    <t>Service Stream</t>
  </si>
  <si>
    <t>Permanent Full Time and Permanent Part Time employees who are working 15 hours or more each week</t>
  </si>
  <si>
    <t>Service Stream-1</t>
  </si>
  <si>
    <t>Service Stream-2</t>
  </si>
  <si>
    <t>Service Stream-3</t>
  </si>
  <si>
    <t>Service Stream-4</t>
  </si>
  <si>
    <t>Service Stream-5</t>
  </si>
  <si>
    <t/>
  </si>
  <si>
    <t>15% x Salary x Future Service to age 65</t>
  </si>
  <si>
    <t xml:space="preserve"> x Salary</t>
  </si>
  <si>
    <t>75% x Salary</t>
  </si>
  <si>
    <t>Service Stream Select Rates for Blue Collar Work Rating</t>
  </si>
  <si>
    <r>
      <t xml:space="preserve">Use this calculator to understand your basic cover amount and the cost of it in AustralianSuper Select for ServiceStream employees. You can also calculate the cost of any amount of cover. Eligibility and terms and conditions apply. 
If you’re an existing AustralianSuper member and not in AustralianSuper Select for ServiceStream employees, please refer to the relevant Product Disclosure Statement for your plan. See below for additional important information. 
</t>
    </r>
    <r>
      <rPr>
        <b/>
        <sz val="18"/>
        <color rgb="FFEB6800"/>
        <rFont val="Arial"/>
        <family val="2"/>
      </rPr>
      <t>Enter your details in the orange fields to reveal cover and costs in the white fields.</t>
    </r>
  </si>
  <si>
    <r>
      <t xml:space="preserve">The work rating you have is one of the factors that impacts the cost of your insurance cover. For more information on work ratings see the </t>
    </r>
    <r>
      <rPr>
        <i/>
        <sz val="11"/>
        <color rgb="FF53565A"/>
        <rFont val="Arial"/>
        <family val="2"/>
      </rPr>
      <t>AustralianSuper Select for ServiceStream employees booklet</t>
    </r>
    <r>
      <rPr>
        <sz val="11"/>
        <color rgb="FF53565A"/>
        <rFont val="Arial"/>
        <family val="2"/>
      </rPr>
      <t xml:space="preserve"> at </t>
    </r>
    <r>
      <rPr>
        <b/>
        <sz val="11"/>
        <color rgb="FF53565A"/>
        <rFont val="Arial"/>
        <family val="2"/>
      </rPr>
      <t>australiansuper.com/servicestream</t>
    </r>
  </si>
  <si>
    <r>
      <rPr>
        <b/>
        <sz val="22"/>
        <color rgb="FF171C94"/>
        <rFont val="Arial"/>
        <family val="2"/>
      </rPr>
      <t xml:space="preserve">Insurance calculator for ServiceStream employees 
in AustralianSuper Select
</t>
    </r>
    <r>
      <rPr>
        <sz val="12"/>
        <color rgb="FF171C94"/>
        <rFont val="Arial"/>
        <family val="2"/>
      </rPr>
      <t>Rates are valid as at 1 May 2022</t>
    </r>
  </si>
  <si>
    <r>
      <rPr>
        <b/>
        <sz val="11"/>
        <color rgb="FF53565A"/>
        <rFont val="Arial"/>
        <family val="2"/>
      </rPr>
      <t>Important information</t>
    </r>
    <r>
      <rPr>
        <sz val="11"/>
        <color rgb="FF53565A"/>
        <rFont val="Arial"/>
        <family val="2"/>
      </rPr>
      <t xml:space="preserve">
This calculator shows the cost of insurance and the basic cover amount you may be eligible for in AustralianSuper Select. 
The outcome produced is illustrative only and should not be relied upon as a guarantee. It does not reflect your ability to obtain the level of cover presented as this may be subject to underwriting assessment and approval, premium loadings and/or policy exclusions. The calculator does not take into account your personal objectives, situation or needs.
You should read the information about Select and insurance in our AustralianSuper Select Product Disclosure Statement, AustralianSuper Select employee booklet and Insurance in your super guide for Select members at </t>
    </r>
    <r>
      <rPr>
        <b/>
        <sz val="11"/>
        <color rgb="FF53565A"/>
        <rFont val="Arial"/>
        <family val="2"/>
      </rPr>
      <t>australiansuper.com/servicestream</t>
    </r>
    <r>
      <rPr>
        <sz val="11"/>
        <color rgb="FF53565A"/>
        <rFont val="Arial"/>
        <family val="2"/>
      </rPr>
      <t>. They detail important terms and conditions about insurance, including costs, your eligibility for cover, how much you can apply for, what you’re covered for, when it starts and stops, active employment, limited cover and exclusions, your insurance options, and what happens if you leave your employer. Your eligibility to claim for benefits will be determined by the Insurer in line with our insurance policy terms and conditions. TAL Life Limited ABN 70 050 109 450 AFSL 237848, is the Insurer for all insurance cover provided through AustralianSuper to its members.
This calculator is not intended to influence your decision about your super or any financial product. Before making financial decisions, it’s important you evaluate the appropriateness of insurance to your financial circumstances. You should consider the cost of cover over time as this may impact the amount of money you have in retirement. The higher the premiums the less savings you will have available for your income when you stop working.
Issued by AustralianSuper Pty Ltd ABN 94 006 457 987, AFSL 233788, the Trustee of AustralianSuper ABN 65 714 394 898.  
Updated March 2022.</t>
    </r>
  </si>
  <si>
    <r>
      <rPr>
        <b/>
        <sz val="11"/>
        <color rgb="FF53565A"/>
        <rFont val="Arial"/>
        <family val="2"/>
      </rPr>
      <t xml:space="preserve">Note: </t>
    </r>
    <r>
      <rPr>
        <sz val="11"/>
        <color rgb="FF53565A"/>
        <rFont val="Arial"/>
        <family val="2"/>
      </rPr>
      <t xml:space="preserve">Basic cover shown below may be subject to automatic limits, age and other eligibility conditions. The cover amounts below are not capped at the automatic limits, and you may be required to provide detailed health information to the Insurer if your cover reaches these limits. If your basic cover is salary based, your employer will provide us with your salary to calculate your basic cover. See the </t>
    </r>
    <r>
      <rPr>
        <i/>
        <sz val="11"/>
        <color rgb="FF53565A"/>
        <rFont val="Arial"/>
        <family val="2"/>
      </rPr>
      <t>AustralianSuper Select for ServiceStream employees booklet</t>
    </r>
    <r>
      <rPr>
        <sz val="11"/>
        <color rgb="FF53565A"/>
        <rFont val="Arial"/>
        <family val="2"/>
      </rPr>
      <t xml:space="preserve"> at </t>
    </r>
    <r>
      <rPr>
        <b/>
        <sz val="11"/>
        <color rgb="FF53565A"/>
        <rFont val="Arial"/>
        <family val="2"/>
      </rPr>
      <t>australiansuper.com/servicestream</t>
    </r>
    <r>
      <rPr>
        <i/>
        <sz val="11"/>
        <color rgb="FF53565A"/>
        <rFont val="Arial"/>
        <family val="2"/>
      </rPr>
      <t xml:space="preserve"> </t>
    </r>
    <r>
      <rPr>
        <sz val="11"/>
        <color rgb="FF53565A"/>
        <rFont val="Arial"/>
        <family val="2"/>
      </rPr>
      <t>for more information about basic cover.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</si>
</sst>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0.000"/>
    <numFmt numFmtId="166" formatCode="_-&quot;$&quot;* #,##0_-;\-&quot;$&quot;* #,##0_-;_-&quot;$&quot;* &quot;-&quot;??_-;_-@_-"/>
    <numFmt numFmtId="167" formatCode="&quot;$&quot;#,##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9"/>
      <color theme="1"/>
      <name val="Arial"/>
      <family val="2"/>
    </font>
    <font>
      <b/>
      <sz val="10"/>
      <color theme="1"/>
      <name val="Arial"/>
      <family val="2"/>
    </font>
    <font>
      <b/>
      <sz val="10"/>
      <color theme="1"/>
      <name val="Calibri"/>
      <family val="2"/>
      <scheme val="minor"/>
    </font>
    <font>
      <b/>
      <sz val="11"/>
      <color rgb="FF000000"/>
      <name val="Calibri"/>
      <family val="2"/>
    </font>
    <font>
      <sz val="11"/>
      <color rgb="FF000000"/>
      <name val="Calibri"/>
      <family val="2"/>
    </font>
    <font>
      <sz val="11"/>
      <color rgb="FFFF0000"/>
      <name val="Calibri"/>
      <family val="2"/>
      <scheme val="minor"/>
    </font>
    <font>
      <b/>
      <sz val="20"/>
      <color theme="1"/>
      <name val="Calibri"/>
      <family val="2"/>
      <scheme val="minor"/>
    </font>
    <font>
      <sz val="11"/>
      <color theme="1"/>
      <name val="Arial"/>
      <family val="2"/>
    </font>
    <font>
      <sz val="11"/>
      <color rgb="FFFF0000"/>
      <name val="Arial"/>
      <family val="2"/>
    </font>
    <font>
      <sz val="11"/>
      <color rgb="FF53565A"/>
      <name val="Arial"/>
      <family val="2"/>
    </font>
    <font>
      <sz val="18"/>
      <color rgb="FF171C94"/>
      <name val="Arial"/>
      <family val="2"/>
    </font>
    <font>
      <b/>
      <sz val="18"/>
      <color rgb="FF171C94"/>
      <name val="Arial"/>
      <family val="2"/>
    </font>
    <font>
      <sz val="18"/>
      <color rgb="FF53565A"/>
      <name val="Arial"/>
      <family val="2"/>
    </font>
    <font>
      <sz val="24"/>
      <color rgb="FF171C94"/>
      <name val="Arial Bold"/>
    </font>
    <font>
      <b/>
      <sz val="11"/>
      <color rgb="FF53565A"/>
      <name val="Arial"/>
      <family val="2"/>
    </font>
    <font>
      <sz val="8"/>
      <color rgb="FFFF0000"/>
      <name val="Arial"/>
      <family val="2"/>
    </font>
    <font>
      <sz val="11"/>
      <color rgb="FF53565A"/>
      <name val="Arial Bold"/>
    </font>
    <font>
      <sz val="14"/>
      <color rgb="FF171C94"/>
      <name val="Arial Bold"/>
    </font>
    <font>
      <sz val="9"/>
      <color rgb="FF53565A"/>
      <name val="Arial"/>
      <family val="2"/>
    </font>
    <font>
      <sz val="11"/>
      <color rgb="FF171C94"/>
      <name val="Arial Italic"/>
    </font>
    <font>
      <sz val="14"/>
      <color rgb="FF171C94"/>
      <name val="Arial Italic"/>
    </font>
    <font>
      <i/>
      <sz val="11"/>
      <color rgb="FF53565A"/>
      <name val="Arial"/>
      <family val="2"/>
    </font>
    <font>
      <b/>
      <sz val="14"/>
      <color rgb="FF171C94"/>
      <name val="Arial Bold"/>
    </font>
    <font>
      <sz val="14"/>
      <color rgb="FF53565A"/>
      <name val="Arial"/>
      <family val="2"/>
    </font>
    <font>
      <b/>
      <sz val="14"/>
      <color rgb="FF171C94"/>
      <name val="Arial"/>
      <family val="2"/>
    </font>
    <font>
      <b/>
      <sz val="11"/>
      <color rgb="FF53565A"/>
      <name val="Arial Italic"/>
    </font>
    <font>
      <b/>
      <i/>
      <sz val="11"/>
      <color rgb="FF53565A"/>
      <name val="Arial Italic"/>
    </font>
    <font>
      <sz val="18"/>
      <color theme="1"/>
      <name val="Arial"/>
      <family val="2"/>
    </font>
    <font>
      <sz val="18"/>
      <color rgb="FFEB6800"/>
      <name val="Arial"/>
      <family val="2"/>
    </font>
    <font>
      <sz val="18"/>
      <color rgb="FF171C94"/>
      <name val="Arial Bold"/>
    </font>
    <font>
      <b/>
      <sz val="18"/>
      <color rgb="FFEB6800"/>
      <name val="Arial"/>
      <family val="2"/>
    </font>
    <font>
      <b/>
      <sz val="24"/>
      <color theme="1"/>
      <name val="Arial"/>
      <family val="2"/>
    </font>
    <font>
      <b/>
      <sz val="24"/>
      <color rgb="FF171C94"/>
      <name val="Arial"/>
      <family val="2"/>
    </font>
    <font>
      <b/>
      <sz val="22"/>
      <color rgb="FF171C94"/>
      <name val="Arial"/>
      <family val="2"/>
    </font>
    <font>
      <sz val="12"/>
      <color rgb="FF171C94"/>
      <name val="Arial"/>
      <family val="2"/>
    </font>
  </fonts>
  <fills count="20">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rgb="FFC5D9F1"/>
        <bgColor rgb="FF000000"/>
      </patternFill>
    </fill>
    <fill>
      <patternFill patternType="solid">
        <fgColor rgb="FFF4B083"/>
        <bgColor rgb="FF000000"/>
      </patternFill>
    </fill>
    <fill>
      <patternFill patternType="solid">
        <fgColor theme="5"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C8D8ED"/>
        <bgColor indexed="64"/>
      </patternFill>
    </fill>
    <fill>
      <patternFill patternType="solid">
        <fgColor rgb="FFD9D9D6"/>
        <bgColor indexed="64"/>
      </patternFill>
    </fill>
    <fill>
      <patternFill patternType="solid">
        <fgColor rgb="FFEBEBEB"/>
        <bgColor indexed="64"/>
      </patternFill>
    </fill>
    <fill>
      <patternFill patternType="solid">
        <fgColor theme="0"/>
        <bgColor indexed="64"/>
      </patternFill>
    </fill>
    <fill>
      <patternFill patternType="solid">
        <fgColor rgb="FFFFA3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1" fillId="0" borderId="0"/>
  </cellStyleXfs>
  <cellXfs count="164">
    <xf numFmtId="0" fontId="0" fillId="0" borderId="0" xfId="0"/>
    <xf numFmtId="0" fontId="2" fillId="0" borderId="0" xfId="0" applyFont="1"/>
    <xf numFmtId="0" fontId="0" fillId="0" borderId="0" xfId="0" applyAlignment="1">
      <alignment horizontal="center"/>
    </xf>
    <xf numFmtId="14" fontId="0" fillId="0" borderId="0" xfId="0" applyNumberFormat="1" applyAlignment="1">
      <alignment horizontal="center"/>
    </xf>
    <xf numFmtId="0" fontId="3" fillId="2" borderId="0" xfId="0" applyFont="1" applyFill="1"/>
    <xf numFmtId="0" fontId="0" fillId="2" borderId="0" xfId="0" applyFill="1" applyAlignment="1">
      <alignment horizontal="center"/>
    </xf>
    <xf numFmtId="0" fontId="0" fillId="2" borderId="0" xfId="0" applyFill="1"/>
    <xf numFmtId="0" fontId="2" fillId="0" borderId="0" xfId="0" applyFont="1" applyAlignment="1">
      <alignment horizontal="left"/>
    </xf>
    <xf numFmtId="0" fontId="2" fillId="3" borderId="4" xfId="0" applyFont="1" applyFill="1" applyBorder="1" applyAlignment="1">
      <alignment horizontal="center" vertical="center" wrapText="1"/>
    </xf>
    <xf numFmtId="4" fontId="4" fillId="4" borderId="2" xfId="0" applyNumberFormat="1" applyFont="1" applyFill="1" applyBorder="1" applyAlignment="1">
      <alignment horizontal="center" vertical="center" wrapText="1"/>
    </xf>
    <xf numFmtId="4" fontId="4" fillId="5" borderId="2" xfId="0" applyNumberFormat="1" applyFont="1" applyFill="1" applyBorder="1" applyAlignment="1">
      <alignment horizontal="center" vertical="center" wrapText="1"/>
    </xf>
    <xf numFmtId="4" fontId="4" fillId="6" borderId="2" xfId="0" applyNumberFormat="1" applyFont="1" applyFill="1" applyBorder="1" applyAlignment="1">
      <alignment horizontal="center" vertical="center" wrapText="1"/>
    </xf>
    <xf numFmtId="0" fontId="2" fillId="3" borderId="4" xfId="0" applyFont="1" applyFill="1" applyBorder="1" applyAlignment="1">
      <alignment horizontal="center" vertical="center"/>
    </xf>
    <xf numFmtId="0" fontId="2" fillId="4" borderId="4"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4" xfId="0" applyFont="1" applyFill="1" applyBorder="1" applyAlignment="1">
      <alignment horizontal="center" vertical="center"/>
    </xf>
    <xf numFmtId="0" fontId="5" fillId="7" borderId="4" xfId="0" applyFont="1" applyFill="1" applyBorder="1" applyAlignment="1">
      <alignment horizontal="center" vertical="center" wrapText="1"/>
    </xf>
    <xf numFmtId="0" fontId="6" fillId="7" borderId="4" xfId="0" applyFont="1" applyFill="1" applyBorder="1" applyAlignment="1">
      <alignment horizontal="center" vertical="center"/>
    </xf>
    <xf numFmtId="0" fontId="4" fillId="0" borderId="6" xfId="0" applyFont="1" applyBorder="1" applyAlignment="1">
      <alignment horizontal="center" vertical="center" wrapText="1"/>
    </xf>
    <xf numFmtId="164" fontId="0" fillId="0" borderId="4" xfId="1" applyNumberFormat="1" applyFont="1" applyBorder="1" applyAlignment="1">
      <alignment horizontal="center"/>
    </xf>
    <xf numFmtId="165" fontId="0" fillId="0" borderId="4" xfId="1" applyNumberFormat="1" applyFont="1" applyBorder="1" applyAlignment="1">
      <alignment horizontal="center"/>
    </xf>
    <xf numFmtId="0" fontId="4" fillId="0" borderId="4" xfId="0" applyFont="1" applyBorder="1" applyAlignment="1">
      <alignment horizontal="center" vertical="center" wrapText="1"/>
    </xf>
    <xf numFmtId="0" fontId="0" fillId="0" borderId="4" xfId="0" applyBorder="1" applyAlignment="1">
      <alignment horizontal="center"/>
    </xf>
    <xf numFmtId="0" fontId="0" fillId="0" borderId="4" xfId="0" applyBorder="1"/>
    <xf numFmtId="4" fontId="4" fillId="6" borderId="4" xfId="0" applyNumberFormat="1" applyFont="1" applyFill="1" applyBorder="1" applyAlignment="1">
      <alignment horizontal="center" vertical="center" wrapText="1"/>
    </xf>
    <xf numFmtId="0" fontId="0" fillId="9" borderId="4" xfId="0" applyFill="1" applyBorder="1"/>
    <xf numFmtId="0" fontId="0" fillId="9" borderId="4" xfId="0" applyFill="1" applyBorder="1" applyAlignment="1">
      <alignment horizontal="center"/>
    </xf>
    <xf numFmtId="0" fontId="0" fillId="8" borderId="4" xfId="0" applyFill="1" applyBorder="1"/>
    <xf numFmtId="0" fontId="0" fillId="8" borderId="4" xfId="0" applyFill="1" applyBorder="1" applyAlignment="1">
      <alignment horizontal="center"/>
    </xf>
    <xf numFmtId="0" fontId="7" fillId="0" borderId="4" xfId="0" applyFont="1" applyBorder="1" applyAlignment="1">
      <alignment vertical="center"/>
    </xf>
    <xf numFmtId="9" fontId="8" fillId="0" borderId="4" xfId="0" applyNumberFormat="1" applyFont="1" applyBorder="1" applyAlignment="1">
      <alignment horizontal="center" vertical="center"/>
    </xf>
    <xf numFmtId="0" fontId="7" fillId="11" borderId="4" xfId="0" applyFont="1" applyFill="1" applyBorder="1" applyAlignment="1">
      <alignment vertical="center"/>
    </xf>
    <xf numFmtId="9" fontId="8" fillId="11" borderId="4" xfId="0" applyNumberFormat="1" applyFont="1" applyFill="1" applyBorder="1" applyAlignment="1">
      <alignment horizontal="center" vertical="center"/>
    </xf>
    <xf numFmtId="1" fontId="0" fillId="0" borderId="0" xfId="0" applyNumberFormat="1"/>
    <xf numFmtId="0" fontId="0" fillId="0" borderId="0" xfId="0" applyAlignment="1">
      <alignment horizontal="right"/>
    </xf>
    <xf numFmtId="0" fontId="0" fillId="12" borderId="0" xfId="0" applyFill="1"/>
    <xf numFmtId="0" fontId="2" fillId="0" borderId="4" xfId="0" applyFont="1" applyBorder="1"/>
    <xf numFmtId="0" fontId="7" fillId="10" borderId="4" xfId="0" applyFont="1" applyFill="1" applyBorder="1" applyAlignment="1">
      <alignment horizontal="center" vertical="center"/>
    </xf>
    <xf numFmtId="14" fontId="0" fillId="9" borderId="4" xfId="0" applyNumberFormat="1" applyFill="1" applyBorder="1" applyAlignment="1">
      <alignment horizontal="center"/>
    </xf>
    <xf numFmtId="0" fontId="0" fillId="9" borderId="4" xfId="0" applyNumberFormat="1" applyFill="1" applyBorder="1" applyAlignment="1">
      <alignment horizontal="center"/>
    </xf>
    <xf numFmtId="0" fontId="9" fillId="0" borderId="0" xfId="0" applyFont="1" applyAlignment="1">
      <alignment wrapText="1"/>
    </xf>
    <xf numFmtId="0" fontId="0" fillId="13" borderId="4" xfId="0" applyFill="1" applyBorder="1"/>
    <xf numFmtId="0" fontId="0" fillId="3" borderId="4" xfId="0" applyFill="1" applyBorder="1"/>
    <xf numFmtId="0" fontId="0" fillId="3" borderId="4" xfId="0" applyNumberFormat="1" applyFill="1" applyBorder="1"/>
    <xf numFmtId="0" fontId="0" fillId="0" borderId="4" xfId="0" applyFill="1" applyBorder="1" applyAlignment="1">
      <alignment horizontal="center"/>
    </xf>
    <xf numFmtId="0" fontId="0" fillId="0" borderId="4" xfId="0" applyBorder="1" applyAlignment="1">
      <alignment horizontal="center" wrapText="1"/>
    </xf>
    <xf numFmtId="0" fontId="0" fillId="8" borderId="4" xfId="0" applyFill="1" applyBorder="1" applyAlignment="1">
      <alignment horizontal="center" wrapText="1"/>
    </xf>
    <xf numFmtId="165" fontId="0" fillId="0" borderId="4" xfId="1" applyNumberFormat="1" applyFont="1" applyFill="1" applyBorder="1" applyAlignment="1">
      <alignment horizontal="center"/>
    </xf>
    <xf numFmtId="0" fontId="0" fillId="0" borderId="4" xfId="0" applyFill="1" applyBorder="1" applyAlignment="1">
      <alignment horizontal="center" wrapText="1"/>
    </xf>
    <xf numFmtId="0" fontId="0" fillId="14" borderId="4" xfId="0" applyFill="1" applyBorder="1"/>
    <xf numFmtId="9" fontId="0" fillId="14" borderId="4" xfId="0" applyNumberFormat="1" applyFill="1" applyBorder="1" applyAlignment="1">
      <alignment horizontal="center" wrapText="1"/>
    </xf>
    <xf numFmtId="0" fontId="0" fillId="12" borderId="4" xfId="0" applyFill="1" applyBorder="1"/>
    <xf numFmtId="9" fontId="0" fillId="12" borderId="4" xfId="0" applyNumberFormat="1" applyFill="1" applyBorder="1" applyAlignment="1">
      <alignment horizontal="center" wrapText="1"/>
    </xf>
    <xf numFmtId="0" fontId="0" fillId="12" borderId="4" xfId="0" applyFill="1" applyBorder="1" applyAlignment="1">
      <alignment horizontal="center" wrapText="1"/>
    </xf>
    <xf numFmtId="0" fontId="0" fillId="14" borderId="4" xfId="0" applyFill="1" applyBorder="1" applyAlignment="1">
      <alignment horizontal="center" wrapText="1"/>
    </xf>
    <xf numFmtId="0" fontId="0" fillId="14" borderId="4" xfId="0" applyFill="1" applyBorder="1" applyAlignment="1">
      <alignment wrapText="1"/>
    </xf>
    <xf numFmtId="0" fontId="0" fillId="0" borderId="4" xfId="0" applyNumberFormat="1" applyFill="1" applyBorder="1" applyAlignment="1">
      <alignment horizontal="center"/>
    </xf>
    <xf numFmtId="0" fontId="0" fillId="0" borderId="4" xfId="0" applyNumberFormat="1" applyBorder="1" applyAlignment="1">
      <alignment horizontal="center"/>
    </xf>
    <xf numFmtId="0" fontId="0" fillId="0" borderId="4" xfId="0" applyFill="1" applyBorder="1"/>
    <xf numFmtId="0" fontId="0" fillId="0" borderId="1" xfId="0" applyBorder="1" applyAlignment="1">
      <alignment horizontal="left"/>
    </xf>
    <xf numFmtId="0" fontId="0" fillId="8" borderId="1" xfId="0" applyFill="1" applyBorder="1" applyAlignment="1">
      <alignment horizontal="center"/>
    </xf>
    <xf numFmtId="0" fontId="0" fillId="12" borderId="4" xfId="0" applyFill="1" applyBorder="1" applyAlignment="1">
      <alignment horizontal="left" wrapText="1"/>
    </xf>
    <xf numFmtId="0" fontId="0" fillId="12" borderId="4" xfId="2" applyNumberFormat="1" applyFont="1" applyFill="1" applyBorder="1" applyAlignment="1">
      <alignment horizontal="center" wrapText="1"/>
    </xf>
    <xf numFmtId="0" fontId="0" fillId="0" borderId="4" xfId="0" applyFill="1" applyBorder="1" applyAlignment="1">
      <alignment horizontal="left" wrapText="1"/>
    </xf>
    <xf numFmtId="0" fontId="0" fillId="0" borderId="4" xfId="0" applyFill="1" applyBorder="1" applyAlignment="1">
      <alignment wrapText="1"/>
    </xf>
    <xf numFmtId="166" fontId="0" fillId="9" borderId="4" xfId="2" applyNumberFormat="1" applyFont="1" applyFill="1" applyBorder="1" applyAlignment="1"/>
    <xf numFmtId="0" fontId="0" fillId="0" borderId="0" xfId="0" applyBorder="1" applyAlignment="1">
      <alignment horizontal="right"/>
    </xf>
    <xf numFmtId="0" fontId="2" fillId="0" borderId="0" xfId="0" applyFont="1" applyFill="1" applyBorder="1"/>
    <xf numFmtId="14" fontId="0" fillId="0" borderId="4" xfId="0" applyNumberFormat="1" applyBorder="1" applyAlignment="1">
      <alignment horizontal="center"/>
    </xf>
    <xf numFmtId="166" fontId="0" fillId="0" borderId="0" xfId="2" applyNumberFormat="1" applyFont="1" applyAlignment="1">
      <alignment horizontal="center"/>
    </xf>
    <xf numFmtId="0" fontId="0" fillId="0" borderId="0" xfId="0" applyAlignment="1">
      <alignment horizontal="left"/>
    </xf>
    <xf numFmtId="0" fontId="2" fillId="12" borderId="4" xfId="0" applyFont="1" applyFill="1" applyBorder="1"/>
    <xf numFmtId="44" fontId="0" fillId="9" borderId="4" xfId="2" applyFont="1" applyFill="1" applyBorder="1" applyAlignment="1">
      <alignment horizontal="right"/>
    </xf>
    <xf numFmtId="44" fontId="0" fillId="12" borderId="4" xfId="0" applyNumberFormat="1" applyFill="1" applyBorder="1" applyAlignment="1">
      <alignment horizontal="right"/>
    </xf>
    <xf numFmtId="0" fontId="2" fillId="8" borderId="4" xfId="0" applyFont="1" applyFill="1" applyBorder="1"/>
    <xf numFmtId="44" fontId="0" fillId="8" borderId="4" xfId="2" applyFont="1" applyFill="1" applyBorder="1" applyAlignment="1">
      <alignment horizontal="right"/>
    </xf>
    <xf numFmtId="44" fontId="0" fillId="8" borderId="4" xfId="0" applyNumberFormat="1" applyFill="1" applyBorder="1" applyAlignment="1">
      <alignment horizontal="right"/>
    </xf>
    <xf numFmtId="44" fontId="0" fillId="0" borderId="4" xfId="2" applyFont="1" applyBorder="1" applyAlignment="1">
      <alignment horizontal="right"/>
    </xf>
    <xf numFmtId="44" fontId="0" fillId="0" borderId="4" xfId="0" applyNumberFormat="1" applyBorder="1" applyAlignment="1">
      <alignment horizontal="right"/>
    </xf>
    <xf numFmtId="2" fontId="0" fillId="0" borderId="4" xfId="0" applyNumberFormat="1" applyFill="1" applyBorder="1" applyAlignment="1">
      <alignment horizontal="center"/>
    </xf>
    <xf numFmtId="0" fontId="0" fillId="14" borderId="0" xfId="0" applyFill="1"/>
    <xf numFmtId="2" fontId="0" fillId="9" borderId="4" xfId="0" applyNumberFormat="1" applyFill="1" applyBorder="1" applyAlignment="1">
      <alignment horizontal="center"/>
    </xf>
    <xf numFmtId="0" fontId="0" fillId="9" borderId="4" xfId="0" applyFill="1" applyBorder="1" applyAlignment="1">
      <alignment horizontal="center" wrapText="1"/>
    </xf>
    <xf numFmtId="0" fontId="11" fillId="0" borderId="0" xfId="4" applyAlignment="1">
      <alignment wrapText="1"/>
    </xf>
    <xf numFmtId="0" fontId="11" fillId="15" borderId="0" xfId="4" applyFill="1" applyAlignment="1">
      <alignment vertical="top" wrapText="1"/>
    </xf>
    <xf numFmtId="0" fontId="11" fillId="15" borderId="0" xfId="4" applyFill="1" applyAlignment="1">
      <alignment horizontal="right" vertical="top" wrapText="1"/>
    </xf>
    <xf numFmtId="0" fontId="12" fillId="15" borderId="0" xfId="4" applyFont="1" applyFill="1" applyAlignment="1">
      <alignment horizontal="right" vertical="top" wrapText="1"/>
    </xf>
    <xf numFmtId="0" fontId="11" fillId="16" borderId="0" xfId="4" applyFill="1" applyAlignment="1">
      <alignment vertical="top" wrapText="1"/>
    </xf>
    <xf numFmtId="0" fontId="16" fillId="15" borderId="0" xfId="4" applyFont="1" applyFill="1" applyAlignment="1">
      <alignment vertical="top" wrapText="1"/>
    </xf>
    <xf numFmtId="0" fontId="14" fillId="15" borderId="0" xfId="4" applyFont="1" applyFill="1" applyAlignment="1">
      <alignment vertical="top" wrapText="1"/>
    </xf>
    <xf numFmtId="0" fontId="17" fillId="15" borderId="0" xfId="4" applyFont="1" applyFill="1" applyAlignment="1">
      <alignment vertical="top" wrapText="1"/>
    </xf>
    <xf numFmtId="0" fontId="19" fillId="16" borderId="0" xfId="4" applyFont="1" applyFill="1" applyAlignment="1">
      <alignment vertical="top" wrapText="1"/>
    </xf>
    <xf numFmtId="0" fontId="20" fillId="16" borderId="0" xfId="4" applyFont="1" applyFill="1" applyAlignment="1">
      <alignment wrapText="1"/>
    </xf>
    <xf numFmtId="0" fontId="11" fillId="14" borderId="0" xfId="4" applyFill="1" applyAlignment="1">
      <alignment vertical="top" wrapText="1"/>
    </xf>
    <xf numFmtId="0" fontId="11" fillId="17" borderId="0" xfId="4" applyFill="1" applyAlignment="1">
      <alignment vertical="top" wrapText="1"/>
    </xf>
    <xf numFmtId="44" fontId="21" fillId="17" borderId="0" xfId="4" applyNumberFormat="1" applyFont="1" applyFill="1" applyAlignment="1">
      <alignment horizontal="left" vertical="center" wrapText="1"/>
    </xf>
    <xf numFmtId="0" fontId="22" fillId="17" borderId="0" xfId="4" applyFont="1" applyFill="1" applyAlignment="1">
      <alignment vertical="top" wrapText="1"/>
    </xf>
    <xf numFmtId="0" fontId="23" fillId="18" borderId="0" xfId="4" applyFont="1" applyFill="1" applyAlignment="1">
      <alignment horizontal="left" vertical="top" wrapText="1" indent="1"/>
    </xf>
    <xf numFmtId="0" fontId="24" fillId="18" borderId="0" xfId="4" applyFont="1" applyFill="1" applyAlignment="1">
      <alignment horizontal="left" vertical="center" wrapText="1" indent="1"/>
    </xf>
    <xf numFmtId="0" fontId="22" fillId="14" borderId="0" xfId="4" applyFont="1" applyFill="1" applyAlignment="1">
      <alignment vertical="top" wrapText="1"/>
    </xf>
    <xf numFmtId="0" fontId="13" fillId="14" borderId="0" xfId="4" applyFont="1" applyFill="1" applyAlignment="1">
      <alignment vertical="center" wrapText="1"/>
    </xf>
    <xf numFmtId="0" fontId="26" fillId="17" borderId="0" xfId="4" applyFont="1" applyFill="1" applyAlignment="1">
      <alignment vertical="top" wrapText="1"/>
    </xf>
    <xf numFmtId="0" fontId="21" fillId="19" borderId="0" xfId="4" applyFont="1" applyFill="1" applyAlignment="1" applyProtection="1">
      <alignment horizontal="center" vertical="center" wrapText="1"/>
      <protection locked="0"/>
    </xf>
    <xf numFmtId="44" fontId="13" fillId="17" borderId="0" xfId="4" applyNumberFormat="1" applyFont="1" applyFill="1" applyAlignment="1">
      <alignment vertical="top" wrapText="1"/>
    </xf>
    <xf numFmtId="0" fontId="27" fillId="18" borderId="0" xfId="4" applyFont="1" applyFill="1" applyAlignment="1">
      <alignment horizontal="center" vertical="top" wrapText="1"/>
    </xf>
    <xf numFmtId="0" fontId="13" fillId="18" borderId="0" xfId="4" applyFont="1" applyFill="1" applyAlignment="1">
      <alignment horizontal="left" vertical="top" wrapText="1" indent="1"/>
    </xf>
    <xf numFmtId="0" fontId="21" fillId="19" borderId="0" xfId="2" applyNumberFormat="1" applyFont="1" applyFill="1" applyBorder="1" applyAlignment="1" applyProtection="1">
      <alignment horizontal="center" vertical="center" wrapText="1"/>
      <protection locked="0"/>
    </xf>
    <xf numFmtId="0" fontId="27" fillId="18" borderId="0" xfId="4" applyFont="1" applyFill="1" applyAlignment="1">
      <alignment vertical="top" wrapText="1"/>
    </xf>
    <xf numFmtId="0" fontId="13" fillId="18" borderId="0" xfId="4" applyFont="1" applyFill="1" applyAlignment="1">
      <alignment horizontal="left" vertical="center" wrapText="1" indent="1"/>
    </xf>
    <xf numFmtId="166" fontId="21" fillId="19" borderId="0" xfId="2" applyNumberFormat="1" applyFont="1" applyFill="1" applyBorder="1" applyAlignment="1" applyProtection="1">
      <alignment horizontal="center" vertical="center" wrapText="1"/>
      <protection locked="0"/>
    </xf>
    <xf numFmtId="0" fontId="18" fillId="14" borderId="0" xfId="4" applyFont="1" applyFill="1" applyAlignment="1">
      <alignment vertical="center" wrapText="1"/>
    </xf>
    <xf numFmtId="0" fontId="27" fillId="18" borderId="0" xfId="4" applyFont="1" applyFill="1" applyAlignment="1">
      <alignment horizontal="center" vertical="center" wrapText="1"/>
    </xf>
    <xf numFmtId="0" fontId="18" fillId="18" borderId="0" xfId="4" applyFont="1" applyFill="1" applyAlignment="1">
      <alignment horizontal="left" wrapText="1" indent="1"/>
    </xf>
    <xf numFmtId="167" fontId="21" fillId="19" borderId="0" xfId="2" applyNumberFormat="1" applyFont="1" applyFill="1" applyBorder="1" applyAlignment="1" applyProtection="1">
      <alignment horizontal="center" vertical="center" wrapText="1"/>
      <protection locked="0"/>
    </xf>
    <xf numFmtId="0" fontId="11" fillId="0" borderId="0" xfId="4" applyAlignment="1">
      <alignment vertical="center" wrapText="1"/>
    </xf>
    <xf numFmtId="0" fontId="11" fillId="14" borderId="0" xfId="4" applyFill="1" applyAlignment="1">
      <alignment vertical="center" wrapText="1"/>
    </xf>
    <xf numFmtId="0" fontId="11" fillId="17" borderId="0" xfId="4" applyFill="1" applyAlignment="1">
      <alignment vertical="center" wrapText="1"/>
    </xf>
    <xf numFmtId="14" fontId="21" fillId="19" borderId="0" xfId="4" applyNumberFormat="1" applyFont="1" applyFill="1" applyAlignment="1" applyProtection="1">
      <alignment horizontal="center" vertical="center" wrapText="1"/>
      <protection locked="0"/>
    </xf>
    <xf numFmtId="0" fontId="20" fillId="18" borderId="0" xfId="4" applyFont="1" applyFill="1" applyAlignment="1">
      <alignment horizontal="left" vertical="center" wrapText="1" indent="1"/>
    </xf>
    <xf numFmtId="0" fontId="29" fillId="14" borderId="0" xfId="4" applyFont="1" applyFill="1" applyAlignment="1">
      <alignment vertical="center" wrapText="1"/>
    </xf>
    <xf numFmtId="0" fontId="31" fillId="0" borderId="0" xfId="4" applyFont="1" applyAlignment="1">
      <alignment vertical="center" wrapText="1"/>
    </xf>
    <xf numFmtId="0" fontId="31" fillId="14" borderId="0" xfId="4" applyFont="1" applyFill="1" applyAlignment="1">
      <alignment vertical="center" wrapText="1"/>
    </xf>
    <xf numFmtId="0" fontId="31" fillId="17" borderId="0" xfId="4" applyFont="1" applyFill="1" applyAlignment="1">
      <alignment vertical="center" wrapText="1"/>
    </xf>
    <xf numFmtId="0" fontId="32" fillId="17" borderId="0" xfId="4" applyFont="1" applyFill="1" applyAlignment="1">
      <alignment horizontal="left" vertical="center" wrapText="1"/>
    </xf>
    <xf numFmtId="0" fontId="33" fillId="17" borderId="0" xfId="4" applyFont="1" applyFill="1" applyAlignment="1">
      <alignment horizontal="left" vertical="center" wrapText="1"/>
    </xf>
    <xf numFmtId="0" fontId="35" fillId="17" borderId="0" xfId="4" applyFont="1" applyFill="1" applyAlignment="1">
      <alignment horizontal="left" vertical="top" wrapText="1"/>
    </xf>
    <xf numFmtId="0" fontId="11" fillId="18" borderId="0" xfId="4" applyFill="1" applyAlignment="1">
      <alignment vertical="top" wrapText="1"/>
    </xf>
    <xf numFmtId="0" fontId="11" fillId="18" borderId="0" xfId="4" applyFill="1" applyAlignment="1">
      <alignment horizontal="center" vertical="top" wrapText="1"/>
    </xf>
    <xf numFmtId="0" fontId="10" fillId="18" borderId="0" xfId="4" applyFont="1" applyFill="1" applyAlignment="1">
      <alignment vertical="top" wrapText="1"/>
    </xf>
    <xf numFmtId="0" fontId="0" fillId="13" borderId="1" xfId="0" applyFill="1" applyBorder="1" applyAlignment="1">
      <alignment horizontal="center"/>
    </xf>
    <xf numFmtId="0" fontId="0" fillId="0" borderId="0" xfId="0" quotePrefix="1"/>
    <xf numFmtId="0" fontId="0" fillId="0" borderId="0" xfId="0" quotePrefix="1" applyAlignment="1">
      <alignment horizontal="center" wrapText="1"/>
    </xf>
    <xf numFmtId="44" fontId="21" fillId="18" borderId="0" xfId="4" applyNumberFormat="1" applyFont="1" applyFill="1" applyAlignment="1">
      <alignment horizontal="center" vertical="center" wrapText="1"/>
    </xf>
    <xf numFmtId="166" fontId="21" fillId="18" borderId="0" xfId="4" applyNumberFormat="1" applyFont="1" applyFill="1" applyAlignment="1">
      <alignment horizontal="center" vertical="center" wrapText="1"/>
    </xf>
    <xf numFmtId="14" fontId="0" fillId="0" borderId="0" xfId="0" applyNumberFormat="1"/>
    <xf numFmtId="0" fontId="13" fillId="17" borderId="0" xfId="4" applyFont="1" applyFill="1" applyAlignment="1">
      <alignment vertical="top" wrapText="1"/>
    </xf>
    <xf numFmtId="0" fontId="13" fillId="17" borderId="0" xfId="4" applyFont="1" applyFill="1" applyAlignment="1">
      <alignment vertical="center" wrapText="1"/>
    </xf>
    <xf numFmtId="0" fontId="0" fillId="18" borderId="0" xfId="0" applyFill="1"/>
    <xf numFmtId="0" fontId="15" fillId="14" borderId="0" xfId="4" applyFont="1" applyFill="1" applyAlignment="1">
      <alignment vertical="center" wrapText="1"/>
    </xf>
    <xf numFmtId="0" fontId="29" fillId="17" borderId="0" xfId="4" applyFont="1" applyFill="1" applyAlignment="1">
      <alignment horizontal="left" vertical="center" wrapText="1"/>
    </xf>
    <xf numFmtId="0" fontId="14" fillId="15" borderId="0" xfId="4" applyFont="1" applyFill="1" applyAlignment="1">
      <alignment vertical="top" wrapText="1"/>
    </xf>
    <xf numFmtId="0" fontId="13" fillId="14" borderId="0" xfId="4" applyFont="1" applyFill="1" applyAlignment="1">
      <alignment vertical="top" wrapText="1"/>
    </xf>
    <xf numFmtId="0" fontId="28" fillId="14" borderId="0" xfId="4" applyFont="1" applyFill="1" applyAlignment="1">
      <alignment vertical="center" wrapText="1"/>
    </xf>
    <xf numFmtId="0" fontId="13" fillId="16" borderId="0" xfId="4" applyFont="1" applyFill="1" applyAlignment="1">
      <alignment vertical="top" wrapText="1"/>
    </xf>
    <xf numFmtId="0" fontId="13" fillId="17" borderId="0" xfId="4" applyFont="1" applyFill="1" applyAlignment="1">
      <alignment horizontal="left" vertical="top" wrapText="1" indent="1"/>
    </xf>
    <xf numFmtId="0" fontId="30" fillId="18" borderId="0" xfId="4" applyFont="1" applyFill="1" applyAlignment="1">
      <alignment horizontal="left" vertical="center" wrapText="1" indent="1"/>
    </xf>
    <xf numFmtId="0" fontId="22" fillId="14" borderId="0" xfId="4" applyFont="1" applyFill="1" applyAlignment="1">
      <alignment vertical="top" wrapText="1"/>
    </xf>
    <xf numFmtId="0" fontId="22" fillId="17" borderId="0" xfId="4" applyFont="1" applyFill="1" applyAlignment="1">
      <alignment vertical="top" wrapText="1"/>
    </xf>
    <xf numFmtId="0" fontId="13" fillId="17" borderId="0" xfId="4" applyFont="1" applyFill="1" applyAlignment="1">
      <alignment vertical="top" wrapText="1"/>
    </xf>
    <xf numFmtId="0" fontId="13" fillId="17" borderId="0" xfId="4" applyFont="1" applyFill="1" applyAlignment="1">
      <alignment vertical="center" wrapText="1"/>
    </xf>
    <xf numFmtId="0" fontId="24" fillId="17" borderId="0" xfId="4" applyFont="1" applyFill="1" applyAlignment="1">
      <alignment vertical="top" wrapText="1"/>
    </xf>
    <xf numFmtId="0" fontId="32" fillId="17" borderId="0" xfId="4" applyFont="1" applyFill="1" applyAlignment="1">
      <alignment horizontal="left" vertical="center" wrapText="1"/>
    </xf>
    <xf numFmtId="0" fontId="36" fillId="18" borderId="0" xfId="4" applyFont="1" applyFill="1" applyAlignment="1">
      <alignment horizontal="left" vertical="top" wrapText="1"/>
    </xf>
    <xf numFmtId="0" fontId="15" fillId="17" borderId="0" xfId="4" applyFont="1" applyFill="1" applyAlignment="1">
      <alignment vertical="center" wrapText="1"/>
    </xf>
    <xf numFmtId="0" fontId="28" fillId="17" borderId="0" xfId="4" applyFont="1" applyFill="1" applyAlignment="1">
      <alignment vertical="center" wrapText="1"/>
    </xf>
    <xf numFmtId="0" fontId="7" fillId="10" borderId="4"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4" fontId="4" fillId="4" borderId="4" xfId="0" applyNumberFormat="1"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4" fontId="4" fillId="6" borderId="4" xfId="0" applyNumberFormat="1" applyFont="1" applyFill="1" applyBorder="1" applyAlignment="1">
      <alignment horizontal="center" vertical="center" wrapText="1"/>
    </xf>
  </cellXfs>
  <cellStyles count="5">
    <cellStyle name="Comma" xfId="1" builtinId="3"/>
    <cellStyle name="Currency" xfId="2" builtinId="4"/>
    <cellStyle name="Normal" xfId="0" builtinId="0"/>
    <cellStyle name="Normal 2" xfId="4" xr:uid="{FDADA380-DBBD-45F2-80C3-6920D2E22E92}"/>
    <cellStyle name="Normal 7" xfId="3" xr:uid="{C3E6A092-9CE1-4A3A-A33F-9BA055FEF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2551044</xdr:colOff>
      <xdr:row>0</xdr:row>
      <xdr:rowOff>0</xdr:rowOff>
    </xdr:from>
    <xdr:to>
      <xdr:col>10</xdr:col>
      <xdr:colOff>397566</xdr:colOff>
      <xdr:row>1</xdr:row>
      <xdr:rowOff>1011064</xdr:rowOff>
    </xdr:to>
    <xdr:pic>
      <xdr:nvPicPr>
        <xdr:cNvPr id="4" name="Picture 3">
          <a:extLst>
            <a:ext uri="{FF2B5EF4-FFF2-40B4-BE49-F238E27FC236}">
              <a16:creationId xmlns:a16="http://schemas.microsoft.com/office/drawing/2014/main" id="{19C32DC3-6AB1-4AE7-A206-969FE23016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68870" y="0"/>
          <a:ext cx="3324087" cy="11767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m_syd_fs1\data\MSD\EXCEL\MIKE\SEP98\BOND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_syd_fs1\data\MSD\EXCEL\MIKE\SEP98\BOND09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analysis"/>
      <sheetName val="charges"/>
      <sheetName val="YE adj"/>
      <sheetName val="Valuation"/>
      <sheetName val="factors"/>
      <sheetName val="Data"/>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06B17-D787-42D3-8D01-EBA4E9BFF359}">
  <sheetPr codeName="Sheet12">
    <tabColor rgb="FFFFC000"/>
    <pageSetUpPr fitToPage="1"/>
  </sheetPr>
  <dimension ref="A1:N34"/>
  <sheetViews>
    <sheetView tabSelected="1" zoomScale="85" zoomScaleNormal="85" workbookViewId="0">
      <selection activeCell="C8" sqref="C8"/>
    </sheetView>
  </sheetViews>
  <sheetFormatPr defaultColWidth="0" defaultRowHeight="14.15" zeroHeight="1" x14ac:dyDescent="0.35"/>
  <cols>
    <col min="1" max="1" width="3" style="83" customWidth="1"/>
    <col min="2" max="2" width="72.4609375" style="83" customWidth="1"/>
    <col min="3" max="3" width="22" style="83" customWidth="1"/>
    <col min="4" max="4" width="8.15234375" style="83" customWidth="1"/>
    <col min="5" max="5" width="58.4609375" style="83" customWidth="1"/>
    <col min="6" max="6" width="21.53515625" style="83" customWidth="1"/>
    <col min="7" max="7" width="6.15234375" style="83" customWidth="1"/>
    <col min="8" max="8" width="3.53515625" style="83" customWidth="1"/>
    <col min="9" max="9" width="57.15234375" style="83" customWidth="1"/>
    <col min="10" max="10" width="22.84375" style="83" customWidth="1"/>
    <col min="11" max="11" width="6.15234375" style="83" customWidth="1"/>
    <col min="12" max="14" width="0" style="83" hidden="1" customWidth="1"/>
    <col min="15" max="16384" width="10.4609375" style="83" hidden="1"/>
  </cols>
  <sheetData>
    <row r="1" spans="1:11" ht="13.4" customHeight="1" x14ac:dyDescent="0.35">
      <c r="A1" s="126"/>
      <c r="B1" s="128"/>
      <c r="C1" s="127"/>
      <c r="D1" s="126"/>
      <c r="E1" s="126"/>
      <c r="F1" s="126"/>
      <c r="G1" s="126"/>
      <c r="H1" s="126"/>
      <c r="I1" s="126"/>
      <c r="J1" s="126"/>
      <c r="K1" s="126"/>
    </row>
    <row r="2" spans="1:11" ht="81" customHeight="1" x14ac:dyDescent="0.35">
      <c r="A2" s="126"/>
      <c r="B2" s="152" t="s">
        <v>198</v>
      </c>
      <c r="C2" s="152"/>
      <c r="D2" s="152"/>
      <c r="E2" s="152"/>
      <c r="F2" s="152"/>
      <c r="G2" s="152"/>
      <c r="H2" s="126"/>
      <c r="I2" s="126"/>
      <c r="J2" s="126"/>
      <c r="K2" s="126"/>
    </row>
    <row r="3" spans="1:11" ht="8.8000000000000007" customHeight="1" x14ac:dyDescent="0.35">
      <c r="A3" s="94"/>
      <c r="B3" s="125"/>
      <c r="C3" s="125"/>
      <c r="D3" s="94"/>
      <c r="E3" s="94"/>
      <c r="F3" s="94"/>
      <c r="G3" s="94"/>
      <c r="H3" s="93"/>
      <c r="I3" s="93"/>
      <c r="J3" s="93"/>
      <c r="K3" s="93"/>
    </row>
    <row r="4" spans="1:11" ht="203.05" customHeight="1" x14ac:dyDescent="0.35">
      <c r="A4" s="94"/>
      <c r="B4" s="151" t="s">
        <v>196</v>
      </c>
      <c r="C4" s="151"/>
      <c r="D4" s="151"/>
      <c r="E4" s="151"/>
      <c r="F4" s="151"/>
      <c r="G4" s="94"/>
      <c r="H4" s="93"/>
      <c r="I4" s="93"/>
      <c r="J4" s="93"/>
      <c r="K4" s="93"/>
    </row>
    <row r="5" spans="1:11" s="120" customFormat="1" ht="31.4" customHeight="1" x14ac:dyDescent="0.4">
      <c r="A5" s="122"/>
      <c r="B5" s="124" t="s">
        <v>180</v>
      </c>
      <c r="C5" s="123"/>
      <c r="D5" s="122"/>
      <c r="E5" s="153" t="s">
        <v>164</v>
      </c>
      <c r="F5" s="153"/>
      <c r="G5" s="122"/>
      <c r="H5" s="121"/>
      <c r="I5" s="138" t="s">
        <v>163</v>
      </c>
      <c r="J5" s="138"/>
      <c r="K5" s="121"/>
    </row>
    <row r="6" spans="1:11" ht="32.15" customHeight="1" x14ac:dyDescent="0.35">
      <c r="A6" s="94"/>
      <c r="B6" s="145" t="s">
        <v>162</v>
      </c>
      <c r="C6" s="145"/>
      <c r="D6" s="94"/>
      <c r="E6" s="139" t="s">
        <v>161</v>
      </c>
      <c r="F6" s="139"/>
      <c r="G6" s="116"/>
      <c r="H6" s="115"/>
      <c r="I6" s="119" t="s">
        <v>160</v>
      </c>
      <c r="J6" s="93"/>
      <c r="K6" s="93"/>
    </row>
    <row r="7" spans="1:11" ht="46.3" customHeight="1" x14ac:dyDescent="0.4">
      <c r="A7" s="94"/>
      <c r="B7"/>
      <c r="C7" s="137"/>
      <c r="D7" s="94"/>
      <c r="E7" s="148" t="s">
        <v>200</v>
      </c>
      <c r="F7" s="148"/>
      <c r="G7" s="94"/>
      <c r="H7" s="93"/>
      <c r="I7" s="141" t="s">
        <v>159</v>
      </c>
      <c r="J7" s="141"/>
      <c r="K7" s="93"/>
    </row>
    <row r="8" spans="1:11" s="114" customFormat="1" ht="35.049999999999997" customHeight="1" x14ac:dyDescent="0.4">
      <c r="A8" s="116"/>
      <c r="B8" s="118" t="s">
        <v>156</v>
      </c>
      <c r="C8" s="117"/>
      <c r="D8" s="116"/>
      <c r="E8" s="148"/>
      <c r="F8" s="148"/>
      <c r="G8" s="116"/>
      <c r="H8" s="115"/>
      <c r="I8" s="142" t="s">
        <v>157</v>
      </c>
      <c r="J8" s="142"/>
      <c r="K8" s="115"/>
    </row>
    <row r="9" spans="1:11" s="83" customFormat="1" ht="35.049999999999997" customHeight="1" x14ac:dyDescent="0.35">
      <c r="A9" s="116"/>
      <c r="B9" s="108" t="s">
        <v>181</v>
      </c>
      <c r="C9" s="113"/>
      <c r="D9" s="116"/>
      <c r="E9" s="148"/>
      <c r="F9" s="148"/>
      <c r="G9" s="94"/>
      <c r="H9" s="115"/>
      <c r="I9" s="110" t="s">
        <v>155</v>
      </c>
      <c r="J9" s="109"/>
      <c r="K9" s="93"/>
    </row>
    <row r="10" spans="1:11" ht="35.049999999999997" customHeight="1" x14ac:dyDescent="0.35">
      <c r="A10" s="94"/>
      <c r="B10" s="108" t="s">
        <v>183</v>
      </c>
      <c r="C10" s="102"/>
      <c r="D10" s="94"/>
      <c r="E10" s="148"/>
      <c r="F10" s="148"/>
      <c r="G10" s="94"/>
      <c r="H10" s="93"/>
      <c r="I10" s="110" t="s">
        <v>154</v>
      </c>
      <c r="J10" s="109"/>
      <c r="K10" s="93"/>
    </row>
    <row r="11" spans="1:11" ht="32.15" customHeight="1" x14ac:dyDescent="0.4">
      <c r="A11" s="94"/>
      <c r="B11"/>
      <c r="C11" s="137"/>
      <c r="D11" s="94"/>
      <c r="E11" s="154" t="s">
        <v>158</v>
      </c>
      <c r="F11" s="154"/>
      <c r="G11" s="94"/>
      <c r="H11" s="93"/>
      <c r="I11" s="100" t="s">
        <v>153</v>
      </c>
      <c r="J11" s="132">
        <f ca="1">Calculations!C62</f>
        <v>0</v>
      </c>
      <c r="K11" s="93" t="str">
        <f ca="1">IF(Calculations!$C$70,"§","")</f>
        <v>§</v>
      </c>
    </row>
    <row r="12" spans="1:11" ht="34.299999999999997" customHeight="1" x14ac:dyDescent="0.35">
      <c r="A12" s="94"/>
      <c r="B12" s="112" t="s">
        <v>76</v>
      </c>
      <c r="C12" s="107"/>
      <c r="D12" s="94"/>
      <c r="E12" s="149" t="s">
        <v>74</v>
      </c>
      <c r="F12" s="149"/>
      <c r="G12" s="94"/>
      <c r="H12" s="93"/>
      <c r="I12" s="100" t="s">
        <v>152</v>
      </c>
      <c r="J12" s="132">
        <f ca="1">Calculations!D62</f>
        <v>0</v>
      </c>
      <c r="K12" s="93" t="str">
        <f ca="1">IF(Calculations!$D$70,"§","")</f>
        <v>§</v>
      </c>
    </row>
    <row r="13" spans="1:11" ht="50.15" customHeight="1" x14ac:dyDescent="0.35">
      <c r="A13" s="94"/>
      <c r="B13" s="108" t="s">
        <v>151</v>
      </c>
      <c r="C13" s="111" t="str">
        <f>Calculations!C15</f>
        <v>Blue Collar</v>
      </c>
      <c r="D13" s="94"/>
      <c r="E13" s="150" t="str">
        <f>Calculations!C19</f>
        <v>15% x Salary x Future Service to age 65</v>
      </c>
      <c r="F13" s="150"/>
      <c r="G13" s="94"/>
      <c r="H13" s="93"/>
      <c r="I13" s="146" t="str">
        <f ca="1">IF(OR(Calculations!C70:D70),"§ Death cover is available from age 15 up to age 70. 
TPD cover is available from age 15 up to age 65.","")</f>
        <v>§ Death cover is available from age 15 up to age 70. 
TPD cover is available from age 15 up to age 65.</v>
      </c>
      <c r="J13" s="93"/>
      <c r="K13" s="93"/>
    </row>
    <row r="14" spans="1:11" ht="30" customHeight="1" x14ac:dyDescent="0.35">
      <c r="A14" s="94"/>
      <c r="B14" s="108" t="s">
        <v>150</v>
      </c>
      <c r="C14" s="107"/>
      <c r="D14" s="94"/>
      <c r="E14" s="136" t="s">
        <v>89</v>
      </c>
      <c r="F14" s="133">
        <f ca="1">Calculations!C56</f>
        <v>0</v>
      </c>
      <c r="G14" s="94" t="str">
        <f ca="1">IF(OR(Calculations!C$69,Calculations!C$71),"^","")</f>
        <v>^</v>
      </c>
      <c r="H14" s="93"/>
      <c r="I14" s="146"/>
      <c r="J14" s="93"/>
      <c r="K14" s="93"/>
    </row>
    <row r="15" spans="1:11" ht="26.15" customHeight="1" x14ac:dyDescent="0.35">
      <c r="A15" s="94"/>
      <c r="B15" s="105" t="s">
        <v>148</v>
      </c>
      <c r="C15" s="104" t="str">
        <f>Calculations!C16</f>
        <v>Blue Collar</v>
      </c>
      <c r="D15" s="94"/>
      <c r="E15" s="136" t="s">
        <v>87</v>
      </c>
      <c r="F15" s="132">
        <f ca="1">Calculations!C57</f>
        <v>0</v>
      </c>
      <c r="G15" s="94"/>
      <c r="H15" s="93"/>
      <c r="I15" s="110" t="s">
        <v>177</v>
      </c>
      <c r="J15" s="109"/>
      <c r="K15" s="93"/>
    </row>
    <row r="16" spans="1:11" ht="38.049999999999997" customHeight="1" x14ac:dyDescent="0.35">
      <c r="A16" s="94"/>
      <c r="B16" s="94"/>
      <c r="C16" s="94"/>
      <c r="D16" s="94"/>
      <c r="E16" s="96" t="str">
        <f ca="1">Calculations!$C$58</f>
        <v>^ Basic Death cover ends at age 65.</v>
      </c>
      <c r="F16" s="103"/>
      <c r="G16" s="94"/>
      <c r="H16" s="93"/>
      <c r="I16" s="100" t="s">
        <v>149</v>
      </c>
      <c r="J16" s="106"/>
      <c r="K16" s="93"/>
    </row>
    <row r="17" spans="1:11" ht="35.049999999999997" customHeight="1" x14ac:dyDescent="0.35">
      <c r="A17" s="94"/>
      <c r="B17" s="144" t="s">
        <v>197</v>
      </c>
      <c r="C17" s="144"/>
      <c r="D17" s="94"/>
      <c r="E17" s="136" t="s">
        <v>90</v>
      </c>
      <c r="F17" s="133">
        <f ca="1">Calculations!D56</f>
        <v>0</v>
      </c>
      <c r="G17" s="94" t="str">
        <f ca="1">IF(OR(Calculations!D$69,Calculations!D$71),"†","")</f>
        <v>†</v>
      </c>
      <c r="H17" s="93"/>
      <c r="I17" s="100" t="s">
        <v>147</v>
      </c>
      <c r="J17" s="102"/>
      <c r="K17" s="93"/>
    </row>
    <row r="18" spans="1:11" ht="35.049999999999997" customHeight="1" x14ac:dyDescent="0.35">
      <c r="A18" s="94"/>
      <c r="B18" s="144"/>
      <c r="C18" s="144"/>
      <c r="D18" s="94"/>
      <c r="E18" s="136" t="s">
        <v>87</v>
      </c>
      <c r="F18" s="132">
        <f ca="1">Calculations!D57</f>
        <v>0</v>
      </c>
      <c r="G18" s="94"/>
      <c r="H18" s="93"/>
      <c r="I18" s="100" t="s">
        <v>175</v>
      </c>
      <c r="J18" s="132">
        <f ca="1">Calculations!E62</f>
        <v>0</v>
      </c>
      <c r="K18" s="93" t="str">
        <f ca="1">IF(Calculations!$E$70,"#","")</f>
        <v>#</v>
      </c>
    </row>
    <row r="19" spans="1:11" ht="46.5" customHeight="1" x14ac:dyDescent="0.35">
      <c r="A19" s="94"/>
      <c r="B19" s="144" t="s">
        <v>182</v>
      </c>
      <c r="C19" s="144"/>
      <c r="D19" s="94"/>
      <c r="E19" s="96" t="str">
        <f ca="1">Calculations!$D$58</f>
        <v>† Basic TPD cover ends at age 65.</v>
      </c>
      <c r="F19" s="103"/>
      <c r="G19" s="94"/>
      <c r="H19" s="93"/>
      <c r="I19" s="99" t="str">
        <f ca="1">IF(OR(Calculations!E70),"# Income Protection is available from age 15. Cover ends at age 70 if your benefit payment period is up to 2 years. Cover ends at age 65 if your benefit payment period is up to 5 years or up to age 65.","")</f>
        <v># Income Protection is available from age 15. Cover ends at age 70 if your benefit payment period is up to 2 years. Cover ends at age 65 if your benefit payment period is up to 5 years or up to age 65.</v>
      </c>
      <c r="J19" s="93"/>
      <c r="K19" s="93"/>
    </row>
    <row r="20" spans="1:11" ht="35.15" customHeight="1" x14ac:dyDescent="0.35">
      <c r="A20" s="94"/>
      <c r="B20" s="94"/>
      <c r="C20" s="94"/>
      <c r="D20" s="94"/>
      <c r="E20" s="101" t="s">
        <v>176</v>
      </c>
      <c r="F20" s="94"/>
      <c r="G20" s="94"/>
      <c r="H20" s="93"/>
      <c r="I20" s="141" t="s">
        <v>146</v>
      </c>
      <c r="J20" s="141"/>
      <c r="K20" s="93"/>
    </row>
    <row r="21" spans="1:11" ht="38.15" customHeight="1" x14ac:dyDescent="0.35">
      <c r="A21" s="94"/>
      <c r="B21" s="94"/>
      <c r="C21" s="94"/>
      <c r="D21" s="94"/>
      <c r="E21" s="148" t="s">
        <v>178</v>
      </c>
      <c r="F21" s="148"/>
      <c r="G21" s="94"/>
      <c r="H21" s="93"/>
      <c r="I21" s="93"/>
      <c r="J21" s="93"/>
      <c r="K21" s="93"/>
    </row>
    <row r="22" spans="1:11" ht="35.049999999999997" customHeight="1" x14ac:dyDescent="0.35">
      <c r="A22" s="94"/>
      <c r="B22" s="94" t="s">
        <v>145</v>
      </c>
      <c r="C22" s="94"/>
      <c r="D22" s="94"/>
      <c r="E22" s="98" t="str">
        <f>Calculations!E19</f>
        <v>75% x Salary</v>
      </c>
      <c r="F22" s="94"/>
      <c r="G22" s="94"/>
      <c r="H22" s="93"/>
      <c r="I22" s="93"/>
      <c r="J22" s="93"/>
      <c r="K22" s="93"/>
    </row>
    <row r="23" spans="1:11" ht="39" customHeight="1" x14ac:dyDescent="0.35">
      <c r="A23" s="94"/>
      <c r="B23" s="94"/>
      <c r="C23" s="94"/>
      <c r="D23" s="94"/>
      <c r="E23" s="97" t="str">
        <f>IF(E22="No basic cover","","You have a waiting period of "&amp;Calculations!E26&amp;" days, and the monthly benefit payment period is up to "&amp;IF(Calculations!E25=65,"age 65.",Calculations!E25&amp;" years."))</f>
        <v>You have a waiting period of 30 days, and the monthly benefit payment period is up to 2 years.</v>
      </c>
      <c r="F23" s="94"/>
      <c r="G23" s="94"/>
      <c r="H23" s="93"/>
      <c r="I23" s="93"/>
      <c r="J23" s="93"/>
      <c r="K23" s="93"/>
    </row>
    <row r="24" spans="1:11" ht="34.299999999999997" customHeight="1" x14ac:dyDescent="0.35">
      <c r="A24" s="94"/>
      <c r="B24" s="94"/>
      <c r="C24" s="94"/>
      <c r="D24" s="94"/>
      <c r="E24" s="94"/>
      <c r="F24" s="94"/>
      <c r="G24" s="94"/>
      <c r="H24" s="93"/>
      <c r="I24" s="93"/>
      <c r="J24" s="93"/>
      <c r="K24" s="93"/>
    </row>
    <row r="25" spans="1:11" ht="35.049999999999997" customHeight="1" x14ac:dyDescent="0.35">
      <c r="A25" s="94"/>
      <c r="B25" s="94"/>
      <c r="C25" s="94"/>
      <c r="D25" s="94"/>
      <c r="E25" s="135" t="s">
        <v>179</v>
      </c>
      <c r="F25" s="133">
        <f ca="1">Calculations!E56</f>
        <v>0</v>
      </c>
      <c r="G25" s="94" t="str">
        <f ca="1">IF(OR(Calculations!E$69,Calculations!E$71),"‡","")</f>
        <v>‡</v>
      </c>
      <c r="H25" s="93"/>
      <c r="I25" s="93"/>
      <c r="J25" s="93"/>
      <c r="K25" s="93"/>
    </row>
    <row r="26" spans="1:11" ht="35.049999999999997" customHeight="1" x14ac:dyDescent="0.35">
      <c r="A26" s="94"/>
      <c r="B26" s="94"/>
      <c r="C26" s="94"/>
      <c r="D26" s="94"/>
      <c r="E26" s="135" t="s">
        <v>87</v>
      </c>
      <c r="F26" s="132">
        <f ca="1">Calculations!E57</f>
        <v>0</v>
      </c>
      <c r="G26" s="94"/>
      <c r="H26" s="93"/>
      <c r="I26" s="93"/>
      <c r="J26" s="93"/>
      <c r="K26" s="93"/>
    </row>
    <row r="27" spans="1:11" ht="26.05" customHeight="1" x14ac:dyDescent="0.35">
      <c r="A27" s="94"/>
      <c r="B27" s="94"/>
      <c r="C27" s="94"/>
      <c r="D27" s="94"/>
      <c r="E27" s="147" t="str">
        <f ca="1">Calculations!$E$58</f>
        <v>‡ Basic Income Protection ends at age 70.</v>
      </c>
      <c r="F27" s="95"/>
      <c r="G27" s="94"/>
      <c r="H27" s="93"/>
      <c r="I27" s="93"/>
      <c r="J27" s="93"/>
      <c r="K27" s="93"/>
    </row>
    <row r="28" spans="1:11" ht="21" customHeight="1" x14ac:dyDescent="0.35">
      <c r="A28" s="94"/>
      <c r="B28" s="94"/>
      <c r="C28" s="94"/>
      <c r="D28" s="94"/>
      <c r="E28" s="147"/>
      <c r="F28" s="95"/>
      <c r="G28" s="94"/>
      <c r="H28" s="93"/>
      <c r="I28" s="93"/>
      <c r="J28" s="93"/>
      <c r="K28" s="93"/>
    </row>
    <row r="29" spans="1:11" ht="14.05" customHeight="1" x14ac:dyDescent="0.35">
      <c r="A29" s="87"/>
      <c r="B29" s="92"/>
      <c r="C29" s="87"/>
      <c r="D29" s="87"/>
      <c r="E29" s="91"/>
      <c r="F29" s="87"/>
      <c r="G29" s="87"/>
      <c r="H29" s="84"/>
      <c r="I29" s="84"/>
      <c r="J29" s="84"/>
      <c r="K29" s="84"/>
    </row>
    <row r="30" spans="1:11" ht="60.55" customHeight="1" x14ac:dyDescent="0.35">
      <c r="A30" s="87"/>
      <c r="B30" s="143" t="s">
        <v>199</v>
      </c>
      <c r="C30" s="143"/>
      <c r="D30" s="143"/>
      <c r="E30" s="143"/>
      <c r="F30" s="143"/>
      <c r="G30" s="87"/>
      <c r="H30" s="84"/>
      <c r="I30" s="90" t="s">
        <v>144</v>
      </c>
      <c r="J30" s="84"/>
      <c r="K30" s="84"/>
    </row>
    <row r="31" spans="1:11" ht="35.15" customHeight="1" x14ac:dyDescent="0.35">
      <c r="A31" s="87"/>
      <c r="B31" s="143"/>
      <c r="C31" s="143"/>
      <c r="D31" s="143"/>
      <c r="E31" s="143"/>
      <c r="F31" s="143"/>
      <c r="G31" s="87"/>
      <c r="H31" s="84"/>
      <c r="I31" s="89" t="s">
        <v>174</v>
      </c>
      <c r="J31" s="88"/>
      <c r="K31" s="84"/>
    </row>
    <row r="32" spans="1:11" ht="36" customHeight="1" x14ac:dyDescent="0.35">
      <c r="A32" s="87"/>
      <c r="B32" s="143"/>
      <c r="C32" s="143"/>
      <c r="D32" s="143"/>
      <c r="E32" s="143"/>
      <c r="F32" s="143"/>
      <c r="G32" s="87"/>
      <c r="H32" s="84"/>
      <c r="I32" s="140" t="s">
        <v>143</v>
      </c>
      <c r="J32" s="140"/>
      <c r="K32" s="84"/>
    </row>
    <row r="33" spans="1:11" ht="37.299999999999997" customHeight="1" x14ac:dyDescent="0.35">
      <c r="A33" s="87"/>
      <c r="B33" s="143"/>
      <c r="C33" s="143"/>
      <c r="D33" s="143"/>
      <c r="E33" s="143"/>
      <c r="F33" s="143"/>
      <c r="G33" s="87"/>
      <c r="H33" s="84"/>
      <c r="I33" s="140" t="s">
        <v>142</v>
      </c>
      <c r="J33" s="140"/>
      <c r="K33" s="84"/>
    </row>
    <row r="34" spans="1:11" ht="159" customHeight="1" x14ac:dyDescent="0.35">
      <c r="A34" s="87"/>
      <c r="B34" s="143"/>
      <c r="C34" s="143"/>
      <c r="D34" s="143"/>
      <c r="E34" s="143"/>
      <c r="F34" s="143"/>
      <c r="G34" s="87"/>
      <c r="H34" s="84"/>
      <c r="I34" s="86"/>
      <c r="J34" s="85"/>
      <c r="K34" s="84"/>
    </row>
  </sheetData>
  <sheetProtection algorithmName="SHA-512" hashValue="7QLET081HT1VndYgcd+NkH+vVkyoJ0rWBFpfln+yRE7F8K5noCCksKnySNM/wfHL4v+yPxKQLsnYWes+blzm2g==" saltValue="ZhPdyyFz4pmYUiRjrque6A==" spinCount="100000" sheet="1" selectLockedCells="1"/>
  <mergeCells count="21">
    <mergeCell ref="B4:F4"/>
    <mergeCell ref="B2:G2"/>
    <mergeCell ref="E5:F5"/>
    <mergeCell ref="E11:F11"/>
    <mergeCell ref="B17:C18"/>
    <mergeCell ref="I5:J5"/>
    <mergeCell ref="E6:F6"/>
    <mergeCell ref="I32:J32"/>
    <mergeCell ref="I33:J33"/>
    <mergeCell ref="I7:J7"/>
    <mergeCell ref="I8:J8"/>
    <mergeCell ref="I20:J20"/>
    <mergeCell ref="B30:F34"/>
    <mergeCell ref="B19:C19"/>
    <mergeCell ref="B6:C6"/>
    <mergeCell ref="I13:I14"/>
    <mergeCell ref="E27:E28"/>
    <mergeCell ref="E21:F21"/>
    <mergeCell ref="E12:F12"/>
    <mergeCell ref="E7:F10"/>
    <mergeCell ref="E13:F13"/>
  </mergeCells>
  <dataValidations count="5">
    <dataValidation type="custom" allowBlank="1" showInputMessage="1" showErrorMessage="1" errorTitle="TPD Cover" error="Please input a multiple of $1,000._x000a__x000a_Maximum TPD Cover is $3,000,000." sqref="J10" xr:uid="{361D6D72-AEF1-4E52-A430-9CC62FB100BD}">
      <formula1>AND(MOD(J10,1000)=0,J10&lt;=3000000)</formula1>
    </dataValidation>
    <dataValidation type="custom" allowBlank="1" showInputMessage="1" showErrorMessage="1" errorTitle="IP Cover" error="Please input a multiple of $100._x000a__x000a_Maximum IP Cover is $30,000." sqref="J15" xr:uid="{1D12B361-4773-49BB-A78A-CB1D11545E65}">
      <formula1>AND(MOD(J15,100)=0,J15&lt;=30000)</formula1>
    </dataValidation>
    <dataValidation type="custom" allowBlank="1" showInputMessage="1" showErrorMessage="1" errorTitle="Death Cover" error="Please input a multiple of $1,000." sqref="J9" xr:uid="{4C7B15E3-4B54-40AF-99A8-0E4B42E39016}">
      <formula1>MOD(J9,1000)=0</formula1>
    </dataValidation>
    <dataValidation type="list" allowBlank="1" showInputMessage="1" showErrorMessage="1" sqref="C10" xr:uid="{D95A60FB-44BD-4E9D-833F-2C4C46F553BB}">
      <formula1>"Blue Collar,White Collar,Professional"</formula1>
    </dataValidation>
    <dataValidation type="list" allowBlank="1" showInputMessage="1" showErrorMessage="1" sqref="J16" xr:uid="{F50077F0-8D97-4BD5-B293-883F60EF6F7D}">
      <formula1>"2 years, 5 years, Up to age 65"</formula1>
    </dataValidation>
  </dataValidations>
  <pageMargins left="0.7" right="0.7" top="0.75" bottom="0.75" header="0.3" footer="0.3"/>
  <pageSetup scale="4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B5B9B3-12D6-4B73-9611-3D0F7582AE58}">
          <x14:formula1>
            <xm:f>OFFSET(Staging!$J$3,0,0,Staging!$K$2)</xm:f>
          </x14:formula1>
          <xm:sqref>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0B0E-86BC-45E8-92B5-151A446EC276}">
  <sheetPr codeName="Sheet1">
    <tabColor rgb="FF00B0F0"/>
  </sheetPr>
  <dimension ref="B2:N71"/>
  <sheetViews>
    <sheetView zoomScaleNormal="100" workbookViewId="0"/>
  </sheetViews>
  <sheetFormatPr defaultRowHeight="14.6" x14ac:dyDescent="0.4"/>
  <cols>
    <col min="1" max="1" width="5.53515625" customWidth="1"/>
    <col min="2" max="2" width="25.53515625" customWidth="1"/>
    <col min="3" max="5" width="15.53515625" customWidth="1"/>
    <col min="6" max="6" width="5.53515625" customWidth="1"/>
    <col min="7" max="7" width="12.53515625" customWidth="1"/>
    <col min="8" max="8" width="22.53515625" customWidth="1"/>
    <col min="11" max="11" width="20.84375" bestFit="1" customWidth="1"/>
    <col min="12" max="12" width="8.4609375" bestFit="1" customWidth="1"/>
    <col min="13" max="13" width="8" bestFit="1" customWidth="1"/>
    <col min="14" max="14" width="11.15234375" bestFit="1" customWidth="1"/>
  </cols>
  <sheetData>
    <row r="2" spans="2:14" x14ac:dyDescent="0.4">
      <c r="B2" s="23" t="s">
        <v>44</v>
      </c>
      <c r="C2" s="38" t="str">
        <f>Staging!C2</f>
        <v>Service Stream</v>
      </c>
      <c r="G2" s="41" t="s">
        <v>100</v>
      </c>
      <c r="H2" s="41"/>
      <c r="K2" s="155" t="s">
        <v>65</v>
      </c>
      <c r="L2" s="155"/>
      <c r="M2" s="155"/>
      <c r="N2" s="155"/>
    </row>
    <row r="3" spans="2:14" x14ac:dyDescent="0.4">
      <c r="B3" s="23" t="s">
        <v>77</v>
      </c>
      <c r="C3" s="56">
        <f>IF(Summary!$C$7="",1,Summary!$C$7)</f>
        <v>1</v>
      </c>
      <c r="D3" s="2">
        <f>IF(Staging!$C$3=1,1,MATCH(C4,Staging!$C$7:$G$7,0))</f>
        <v>1</v>
      </c>
      <c r="G3" s="23" t="s">
        <v>101</v>
      </c>
      <c r="H3" s="23"/>
      <c r="K3" s="37"/>
      <c r="L3" s="37" t="s">
        <v>169</v>
      </c>
      <c r="M3" s="37" t="s">
        <v>170</v>
      </c>
      <c r="N3" s="37" t="s">
        <v>83</v>
      </c>
    </row>
    <row r="4" spans="2:14" ht="102" x14ac:dyDescent="0.4">
      <c r="B4" s="23" t="s">
        <v>91</v>
      </c>
      <c r="C4" s="82" t="str" cm="1">
        <f t="array" ref="C4">INDEX(Staging!$C$7:$G$7,Calculations!C3)</f>
        <v>Permanent Full Time and Permanent Part Time employees who are working 15 hours or more each week</v>
      </c>
      <c r="D4" s="131" t="str" cm="1">
        <f t="array" ref="D4">INDEX(Staging!$C$7:$G$7,Calculations!C3)</f>
        <v>Permanent Full Time and Permanent Part Time employees who are working 15 hours or more each week</v>
      </c>
      <c r="G4" s="23" t="s">
        <v>98</v>
      </c>
      <c r="H4" s="23" t="s">
        <v>99</v>
      </c>
      <c r="K4" s="29" t="s">
        <v>29</v>
      </c>
      <c r="L4" s="30">
        <v>1</v>
      </c>
      <c r="M4" s="30">
        <v>0.5</v>
      </c>
      <c r="N4" s="30">
        <v>0.45</v>
      </c>
    </row>
    <row r="5" spans="2:14" x14ac:dyDescent="0.4">
      <c r="G5" s="25" t="s">
        <v>96</v>
      </c>
      <c r="H5" s="25" t="s">
        <v>104</v>
      </c>
      <c r="K5" s="29" t="s">
        <v>8</v>
      </c>
      <c r="L5" s="30">
        <v>1</v>
      </c>
      <c r="M5" s="30">
        <v>0.5</v>
      </c>
      <c r="N5" s="30">
        <v>0.45</v>
      </c>
    </row>
    <row r="6" spans="2:14" x14ac:dyDescent="0.4">
      <c r="G6" s="27" t="s">
        <v>97</v>
      </c>
      <c r="H6" s="27" t="s">
        <v>103</v>
      </c>
      <c r="K6" s="29" t="s">
        <v>110</v>
      </c>
      <c r="L6" s="30">
        <v>1</v>
      </c>
      <c r="M6" s="30">
        <v>0.5</v>
      </c>
      <c r="N6" s="30">
        <v>0.45</v>
      </c>
    </row>
    <row r="7" spans="2:14" x14ac:dyDescent="0.4">
      <c r="G7" s="42" t="s">
        <v>102</v>
      </c>
      <c r="H7" s="42" t="s">
        <v>105</v>
      </c>
      <c r="K7" s="29" t="s">
        <v>111</v>
      </c>
      <c r="L7" s="30">
        <v>1</v>
      </c>
      <c r="M7" s="30">
        <v>0.5</v>
      </c>
      <c r="N7" s="30">
        <v>0.45</v>
      </c>
    </row>
    <row r="8" spans="2:14" x14ac:dyDescent="0.4">
      <c r="B8" s="1" t="s">
        <v>93</v>
      </c>
      <c r="K8" s="31" t="s">
        <v>112</v>
      </c>
      <c r="L8" s="32">
        <v>1</v>
      </c>
      <c r="M8" s="32">
        <v>0.56000000000000005</v>
      </c>
      <c r="N8" s="32">
        <v>0.5</v>
      </c>
    </row>
    <row r="9" spans="2:14" x14ac:dyDescent="0.4">
      <c r="B9" s="23" t="s">
        <v>71</v>
      </c>
      <c r="C9" s="38">
        <f ca="1">TODAY()</f>
        <v>44643</v>
      </c>
    </row>
    <row r="10" spans="2:14" x14ac:dyDescent="0.4">
      <c r="B10" s="23" t="s">
        <v>23</v>
      </c>
      <c r="C10" s="38">
        <f>Summary!C8</f>
        <v>0</v>
      </c>
    </row>
    <row r="11" spans="2:14" x14ac:dyDescent="0.4">
      <c r="B11" s="23" t="s">
        <v>32</v>
      </c>
      <c r="C11" s="22">
        <f ca="1">IFERROR(DATEDIF(C10,C9,"Y"),0)</f>
        <v>122</v>
      </c>
    </row>
    <row r="12" spans="2:14" x14ac:dyDescent="0.4">
      <c r="B12" s="23" t="s">
        <v>42</v>
      </c>
      <c r="C12" s="39">
        <f>Summary!C11</f>
        <v>0</v>
      </c>
    </row>
    <row r="13" spans="2:14" x14ac:dyDescent="0.4">
      <c r="B13" s="23" t="s">
        <v>24</v>
      </c>
      <c r="C13" s="65">
        <f>Summary!C9</f>
        <v>0</v>
      </c>
    </row>
    <row r="14" spans="2:14" x14ac:dyDescent="0.4">
      <c r="B14" s="23" t="s">
        <v>73</v>
      </c>
      <c r="C14" s="26">
        <f>Summary!C10</f>
        <v>0</v>
      </c>
    </row>
    <row r="15" spans="2:14" x14ac:dyDescent="0.4">
      <c r="B15" s="23" t="s">
        <v>75</v>
      </c>
      <c r="C15" s="46" t="str">
        <f>HLOOKUP(C$3,Staging!$C$4:$G$61,MATCH(B15,Staging!$B$4:$B$61,FALSE),FALSE)</f>
        <v>Blue Collar</v>
      </c>
    </row>
    <row r="16" spans="2:14" x14ac:dyDescent="0.4">
      <c r="B16" s="23" t="s">
        <v>106</v>
      </c>
      <c r="C16" s="44" t="str">
        <f>IF(ISNUMBER(MATCH("Professional",$C$14:$C$15,0)),"Professional",IF(ISNUMBER(MATCH("White Collar",$C$14:$C$15,0)),"White Collar","Blue Collar"))</f>
        <v>Blue Collar</v>
      </c>
    </row>
    <row r="18" spans="2:12" x14ac:dyDescent="0.4">
      <c r="B18" s="1" t="s">
        <v>92</v>
      </c>
      <c r="C18" s="2" t="s">
        <v>34</v>
      </c>
      <c r="D18" s="2" t="s">
        <v>8</v>
      </c>
      <c r="E18" s="2" t="s">
        <v>30</v>
      </c>
    </row>
    <row r="19" spans="2:12" ht="43.75" x14ac:dyDescent="0.4">
      <c r="B19" s="23" t="s">
        <v>134</v>
      </c>
      <c r="C19" s="46" t="str">
        <f>HLOOKUP($C$3,Staging!$C$4:$G$61,MATCH("Death Design",Staging!$B$4:$B$61,FALSE),FALSE)</f>
        <v>15% x Salary x Future Service to age 65</v>
      </c>
      <c r="D19" s="46" t="str">
        <f>HLOOKUP($C$3,Staging!$C$4:$G$61,MATCH("TPD Design",Staging!$B$4:$B$61,FALSE),FALSE)</f>
        <v>15% x Salary x Future Service to age 65</v>
      </c>
      <c r="E19" s="46" t="str">
        <f>HLOOKUP($C$3,Staging!$C$4:$G$61,MATCH("Income Protection Design",Staging!$B$4:$B$61,FALSE),FALSE)</f>
        <v>75% x Salary</v>
      </c>
      <c r="H19" s="35" t="s">
        <v>120</v>
      </c>
      <c r="I19" s="35"/>
      <c r="K19" s="80" t="s">
        <v>121</v>
      </c>
      <c r="L19" s="80"/>
    </row>
    <row r="20" spans="2:12" x14ac:dyDescent="0.4">
      <c r="B20" s="23" t="s">
        <v>133</v>
      </c>
      <c r="C20" s="48">
        <f>VLOOKUP(C21,$H$20:$I$25,2,FALSE)</f>
        <v>5</v>
      </c>
      <c r="D20" s="48">
        <f>VLOOKUP(D21,$H$20:$I$25,2,FALSE)</f>
        <v>5</v>
      </c>
      <c r="E20" s="48">
        <f>VLOOKUP(E21,$K$20:$L$24,2,FALSE)</f>
        <v>5</v>
      </c>
      <c r="H20" s="35" t="s">
        <v>128</v>
      </c>
      <c r="I20" s="35">
        <v>1</v>
      </c>
      <c r="K20" s="80" t="s">
        <v>128</v>
      </c>
      <c r="L20" s="80">
        <v>1</v>
      </c>
    </row>
    <row r="21" spans="2:12" x14ac:dyDescent="0.4">
      <c r="B21" s="23" t="s">
        <v>35</v>
      </c>
      <c r="C21" s="46" t="str">
        <f>HLOOKUP($C$3,Staging!$C$4:$G$61,MATCH(C$18&amp;"_"&amp;$B21,Staging!$B$4:$B$61,FALSE),FALSE)</f>
        <v>% x Sal x FYS</v>
      </c>
      <c r="D21" s="46" t="str">
        <f>HLOOKUP($C$3,Staging!$C$4:$G$61,MATCH(D$18&amp;"_"&amp;$B21,Staging!$B$4:$B$61,FALSE),FALSE)</f>
        <v>% x Sal x FYS</v>
      </c>
      <c r="E21" s="46" t="str">
        <f>HLOOKUP($C$3,Staging!$C$4:$G$61,MATCH(E$18&amp;"_"&amp;$B21,Staging!$B$4:$B$61,FALSE),FALSE)</f>
        <v>% x Salary</v>
      </c>
      <c r="H21" s="35" t="s">
        <v>113</v>
      </c>
      <c r="I21" s="35">
        <v>2</v>
      </c>
      <c r="K21" s="80" t="s">
        <v>113</v>
      </c>
      <c r="L21" s="80">
        <v>2</v>
      </c>
    </row>
    <row r="22" spans="2:12" x14ac:dyDescent="0.4">
      <c r="B22" s="23" t="s">
        <v>39</v>
      </c>
      <c r="C22" s="46">
        <f>HLOOKUP($C$3,Staging!$C$4:$G$61,MATCH(C$18&amp;"_"&amp;$B22,Staging!$B$4:$B$61,FALSE),FALSE)</f>
        <v>70</v>
      </c>
      <c r="D22" s="46">
        <f>HLOOKUP($C$3,Staging!$C$4:$G$61,MATCH(D$18&amp;"_"&amp;$B22,Staging!$B$4:$B$61,FALSE),FALSE)</f>
        <v>65</v>
      </c>
      <c r="E22" s="46">
        <f>HLOOKUP($C$3,Staging!$C$4:$G$61,MATCH(E$18&amp;"_"&amp;$B22,Staging!$B$4:$B$61,FALSE),FALSE)</f>
        <v>70</v>
      </c>
      <c r="H22" s="35" t="s">
        <v>117</v>
      </c>
      <c r="I22" s="35">
        <v>3</v>
      </c>
      <c r="K22" s="80" t="s">
        <v>117</v>
      </c>
      <c r="L22" s="80">
        <v>3</v>
      </c>
    </row>
    <row r="23" spans="2:12" x14ac:dyDescent="0.4">
      <c r="B23" s="23" t="s">
        <v>40</v>
      </c>
      <c r="C23" s="46">
        <f>HLOOKUP($C$3,Staging!$C$4:$G$61,MATCH(C$18&amp;"_"&amp;$B23,Staging!$B$4:$B$61,FALSE),FALSE)</f>
        <v>1500000</v>
      </c>
      <c r="D23" s="46">
        <f>HLOOKUP($C$3,Staging!$C$4:$G$61,MATCH(D$18&amp;"_"&amp;$B23,Staging!$B$4:$B$61,FALSE),FALSE)</f>
        <v>1500000</v>
      </c>
      <c r="E23" s="46">
        <f>HLOOKUP($C$3,Staging!$C$4:$G$61,MATCH(E$18&amp;"_"&amp;$B23,Staging!$B$4:$B$61,FALSE),FALSE)</f>
        <v>14000</v>
      </c>
      <c r="H23" s="35" t="s">
        <v>118</v>
      </c>
      <c r="I23" s="35">
        <v>4</v>
      </c>
      <c r="K23" s="80" t="s">
        <v>118</v>
      </c>
      <c r="L23" s="80">
        <v>4</v>
      </c>
    </row>
    <row r="24" spans="2:12" x14ac:dyDescent="0.4">
      <c r="B24" s="23" t="s">
        <v>41</v>
      </c>
      <c r="C24" s="46">
        <f>HLOOKUP($C$3,Staging!$C$4:$G$61,MATCH(C$18&amp;"_"&amp;$B24,Staging!$B$4:$B$61,FALSE),FALSE)</f>
        <v>999999999</v>
      </c>
      <c r="D24" s="46">
        <f>HLOOKUP($C$3,Staging!$C$4:$G$61,MATCH(D$18&amp;"_"&amp;$B24,Staging!$B$4:$B$61,FALSE),FALSE)</f>
        <v>3000000</v>
      </c>
      <c r="E24" s="46">
        <f>HLOOKUP($C$3,Staging!$C$4:$G$61,MATCH(E$18&amp;"_"&amp;$B24,Staging!$B$4:$B$61,FALSE),FALSE)</f>
        <v>30000</v>
      </c>
      <c r="H24" s="35" t="s">
        <v>33</v>
      </c>
      <c r="I24" s="35">
        <v>5</v>
      </c>
      <c r="K24" s="80" t="s">
        <v>119</v>
      </c>
      <c r="L24" s="80">
        <v>5</v>
      </c>
    </row>
    <row r="25" spans="2:12" x14ac:dyDescent="0.4">
      <c r="D25" s="66" t="s">
        <v>58</v>
      </c>
      <c r="E25" s="46">
        <f>HLOOKUP(C$3,Staging!$C$4:$G$61,MATCH(D25,Staging!$B$4:$B$61,FALSE),FALSE)</f>
        <v>2</v>
      </c>
      <c r="H25" s="35" t="s">
        <v>66</v>
      </c>
      <c r="I25" s="35">
        <v>6</v>
      </c>
    </row>
    <row r="26" spans="2:12" x14ac:dyDescent="0.4">
      <c r="D26" s="66" t="s">
        <v>59</v>
      </c>
      <c r="E26" s="46">
        <f>HLOOKUP(C$3,Staging!$C$4:$G$61,MATCH(D26,Staging!$B$4:$B$61,FALSE),FALSE)</f>
        <v>30</v>
      </c>
    </row>
    <row r="28" spans="2:12" x14ac:dyDescent="0.4">
      <c r="B28" s="1" t="s">
        <v>138</v>
      </c>
      <c r="C28" s="2" t="s">
        <v>34</v>
      </c>
      <c r="D28" s="2" t="s">
        <v>8</v>
      </c>
      <c r="E28" s="2" t="s">
        <v>30</v>
      </c>
    </row>
    <row r="29" spans="2:12" x14ac:dyDescent="0.4">
      <c r="B29" s="1" t="s">
        <v>140</v>
      </c>
      <c r="C29" s="69">
        <f ca="1">IF(OR($C$11&gt;=C22,C11&lt;15),0,IF(C20=1,0,IF(C20=2,C30,IF(C20=3,C31,IF(C20=4,C31*C32,IF(C20=5,C33*$C$13*C36,IF(C20=6,C37*$C$13,NA())))))))</f>
        <v>0</v>
      </c>
      <c r="D29" s="69">
        <f ca="1">IF(OR($C$11&gt;=D22,C11&lt;15),0,IF(D20=1,0,IF(D20=2,D30,IF(D20=3,D31,IF(D20=4,D31*D32,IF(D20=5,D33*$C$13*D36,IF(D20=6,D37*$C$13,NA())))))))</f>
        <v>0</v>
      </c>
      <c r="E29" s="69">
        <f ca="1">IF(OR($C$11&gt;=E68,C11&lt;15,AND($C$11&gt;65,E25&gt;2)),0,IF(E20=1,0,IF(E20=2,E30,IF(E20=3,E31,IF(E20=4,E31*E32,IF(E20=5,E33*$C$13/12,NA()))))))</f>
        <v>0</v>
      </c>
    </row>
    <row r="30" spans="2:12" x14ac:dyDescent="0.4">
      <c r="B30" s="1" t="s">
        <v>113</v>
      </c>
      <c r="C30" s="46" t="str">
        <f>HLOOKUP($C$3,Staging!$C$4:$G$61,MATCH(C$18&amp;"_"&amp;$B30,Staging!$B$4:$B$61,FALSE),FALSE)</f>
        <v/>
      </c>
      <c r="D30" s="46" t="str">
        <f>HLOOKUP($C$3,Staging!$C$4:$G$61,MATCH(D$18&amp;"_"&amp;$B30,Staging!$B$4:$B$61,FALSE),FALSE)</f>
        <v/>
      </c>
      <c r="E30" s="46" t="str">
        <f>HLOOKUP($C$3,Staging!$C$4:$G$61,MATCH(E$18&amp;"_"&amp;$B30,Staging!$B$4:$B$61,FALSE),FALSE)</f>
        <v/>
      </c>
    </row>
    <row r="31" spans="2:12" x14ac:dyDescent="0.4">
      <c r="B31" s="1" t="s">
        <v>135</v>
      </c>
      <c r="C31" s="44" t="str">
        <f>IF(C19="Age Based Scale",VLOOKUP($C$11,#REF!,2,FALSE),"")</f>
        <v/>
      </c>
      <c r="D31" s="44" t="str">
        <f>IF(D19="Age Based Scale",VLOOKUP($C$11,#REF!,2,FALSE),"")</f>
        <v/>
      </c>
      <c r="E31" s="44" t="str">
        <f>IF(E19="Age Based Scale",VLOOKUP($C$11,#REF!,2,FALSE),"")</f>
        <v/>
      </c>
    </row>
    <row r="32" spans="2:12" x14ac:dyDescent="0.4">
      <c r="B32" s="1" t="s">
        <v>137</v>
      </c>
      <c r="C32" s="46" t="str">
        <f>HLOOKUP($C$3,Staging!$C$4:$G$61,MATCH(C$18&amp;"_"&amp;$B32,Staging!$B$4:$B$61,FALSE),FALSE)</f>
        <v/>
      </c>
      <c r="D32" s="46" t="str">
        <f>HLOOKUP($C$3,Staging!$C$4:$G$61,MATCH(D$18&amp;"_"&amp;$B32,Staging!$B$4:$B$61,FALSE),FALSE)</f>
        <v/>
      </c>
      <c r="E32" s="46" t="str">
        <f>HLOOKUP($C$3,Staging!$C$4:$G$61,MATCH(E$18&amp;"_"&amp;$B32,Staging!$B$4:$B$61,FALSE),FALSE)</f>
        <v/>
      </c>
    </row>
    <row r="33" spans="2:8" x14ac:dyDescent="0.4">
      <c r="B33" s="67" t="s">
        <v>37</v>
      </c>
      <c r="C33" s="46">
        <f>HLOOKUP($C$3,Staging!$C$4:$G$61,MATCH(C$18&amp;"_"&amp;$B33,Staging!$B$4:$B$61,FALSE),FALSE)</f>
        <v>0.15</v>
      </c>
      <c r="D33" s="46">
        <f>HLOOKUP($C$3,Staging!$C$4:$G$61,MATCH(D$18&amp;"_"&amp;$B33,Staging!$B$4:$B$61,FALSE),FALSE)</f>
        <v>0.15</v>
      </c>
      <c r="E33" s="46">
        <f>HLOOKUP($C$3,Staging!$C$4:$G$61,MATCH(E$18&amp;"_"&amp;$B33,Staging!$B$4:$B$61,FALSE),FALSE)</f>
        <v>0.75</v>
      </c>
    </row>
    <row r="34" spans="2:8" x14ac:dyDescent="0.4">
      <c r="B34" s="1" t="s">
        <v>38</v>
      </c>
      <c r="C34" s="46">
        <f>HLOOKUP($C$3,Staging!$C$4:$G$61,MATCH(C$18&amp;"_"&amp;$B34,Staging!$B$4:$B$61,FALSE),FALSE)</f>
        <v>65</v>
      </c>
      <c r="D34" s="46">
        <f>HLOOKUP($C$3,Staging!$C$4:$G$61,MATCH(D$18&amp;"_"&amp;$B34,Staging!$B$4:$B$61,FALSE),FALSE)</f>
        <v>65</v>
      </c>
    </row>
    <row r="35" spans="2:8" x14ac:dyDescent="0.4">
      <c r="B35" t="s">
        <v>94</v>
      </c>
      <c r="C35" s="68">
        <f>DATE(YEAR($C$10)+C34,MONTH($C$10),DAY($C$10))</f>
        <v>23742</v>
      </c>
      <c r="D35" s="68">
        <f>DATE(YEAR($C$10)+D34,MONTH($C$10),DAY($C$10))</f>
        <v>23742</v>
      </c>
    </row>
    <row r="36" spans="2:8" x14ac:dyDescent="0.4">
      <c r="B36" t="s">
        <v>139</v>
      </c>
      <c r="C36" s="57">
        <f ca="1">IF(C35&gt;$C9,(DATEDIF($C$9,C35,"M")+IF(DAY(C35)=DAY($C$9),0,1))/12,0)</f>
        <v>0</v>
      </c>
      <c r="D36" s="57">
        <f ca="1">IF(D35&gt;$C9,(DATEDIF($C$9,D35,"M")+IF(DAY(D35)=DAY($C$9),0,1))/12,0)</f>
        <v>0</v>
      </c>
      <c r="F36" s="134"/>
    </row>
    <row r="37" spans="2:8" x14ac:dyDescent="0.4">
      <c r="B37" s="1" t="s">
        <v>136</v>
      </c>
      <c r="C37" s="46" t="str">
        <f>HLOOKUP($C$3,Staging!$C$4:$G$61,MATCH(C$18&amp;"_"&amp;$B37,Staging!$B$4:$B$61,FALSE),FALSE)</f>
        <v/>
      </c>
      <c r="D37" s="46" t="str">
        <f>HLOOKUP($C$3,Staging!$C$4:$G$61,MATCH(D$18&amp;"_"&amp;$B37,Staging!$B$4:$B$61,FALSE),FALSE)</f>
        <v/>
      </c>
    </row>
    <row r="38" spans="2:8" x14ac:dyDescent="0.4">
      <c r="C38" s="2"/>
      <c r="D38" s="33"/>
    </row>
    <row r="39" spans="2:8" x14ac:dyDescent="0.4">
      <c r="B39" s="23" t="s">
        <v>131</v>
      </c>
      <c r="C39" s="46" t="str">
        <f>HLOOKUP(C$3,Staging!$C$4:$G$61,MATCH(B39,Staging!$B$4:$B$61,FALSE),FALSE)</f>
        <v>Uni-sex</v>
      </c>
    </row>
    <row r="41" spans="2:8" x14ac:dyDescent="0.4">
      <c r="B41" t="s">
        <v>108</v>
      </c>
      <c r="C41" s="2" t="s">
        <v>29</v>
      </c>
      <c r="D41" s="2" t="s">
        <v>8</v>
      </c>
      <c r="E41" s="70" t="str">
        <f>IF($E25=2,$K$6,IF($E25=5,$K$7,IF($E25=65,$K$8,NA())))</f>
        <v>2-year benefit period IP</v>
      </c>
    </row>
    <row r="42" spans="2:8" x14ac:dyDescent="0.4">
      <c r="B42" s="23" t="s">
        <v>88</v>
      </c>
      <c r="C42" s="79">
        <f>INDEX($L$4:$N$8,MATCH(C$41,$K$4:$K$8,FALSE),MATCH($C$16,$L$3:$N$3,FALSE))</f>
        <v>1</v>
      </c>
      <c r="D42" s="79">
        <f>INDEX($L$4:$N$8,MATCH(D$41,$K$4:$K$8,FALSE),MATCH($C$16,$L$3:$N$3,FALSE))</f>
        <v>1</v>
      </c>
      <c r="E42" s="79">
        <f>INDEX($L$4:$N$8,MATCH(E$41,$K$4:$K$8,FALSE),MATCH($C$16,$L$3:$N$3,FALSE))</f>
        <v>1</v>
      </c>
    </row>
    <row r="43" spans="2:8" x14ac:dyDescent="0.4">
      <c r="B43" s="23" t="s">
        <v>109</v>
      </c>
      <c r="D43" s="34" t="e">
        <f>IF($E64=2,$K$6,IF($E64=5,$K$7,IF($E64=65,$K$8,NA())))</f>
        <v>#VALUE!</v>
      </c>
      <c r="E43" s="81" t="e">
        <f>INDEX($L$4:$N$8,MATCH(D$43,$K$4:$K$8,FALSE),MATCH($C$16,$L$3:$N$3,FALSE))</f>
        <v>#VALUE!</v>
      </c>
    </row>
    <row r="45" spans="2:8" x14ac:dyDescent="0.4">
      <c r="B45" s="36" t="s">
        <v>107</v>
      </c>
      <c r="C45" s="23" t="s">
        <v>67</v>
      </c>
      <c r="D45" s="23" t="s">
        <v>68</v>
      </c>
      <c r="E45" s="23" t="s">
        <v>69</v>
      </c>
    </row>
    <row r="46" spans="2:8" x14ac:dyDescent="0.4">
      <c r="B46" s="36" t="s">
        <v>141</v>
      </c>
      <c r="C46" s="23" t="s">
        <v>12</v>
      </c>
      <c r="D46" s="23" t="s">
        <v>13</v>
      </c>
      <c r="E46" s="82" t="str">
        <f>"SE_STD_"&amp;E25&amp;"_"&amp;E26</f>
        <v>SE_STD_2_30</v>
      </c>
      <c r="H46" t="s">
        <v>173</v>
      </c>
    </row>
    <row r="47" spans="2:8" x14ac:dyDescent="0.4">
      <c r="B47" s="23" t="s">
        <v>88</v>
      </c>
      <c r="C47" s="43">
        <f ca="1">IFERROR(Calculations!C$42*INDEX(INDIRECT($H$47),MATCH($C$11,INDIRECT($H$48),0),MATCH(C$46,INDIRECT($H$49),0)),0)</f>
        <v>0</v>
      </c>
      <c r="D47" s="43">
        <f ca="1">IFERROR(Calculations!D$42*INDEX(INDIRECT($H$47),MATCH($C$11,INDIRECT($H$48),0),MATCH(D$46,INDIRECT($H$49),0)),0)</f>
        <v>0</v>
      </c>
      <c r="E47" s="43">
        <f ca="1">IFERROR(Calculations!E$42*INDEX(INDIRECT($H$47),MATCH($C$11,INDIRECT($H$48),0),MATCH(E$46,INDIRECT($H$49),0)),0)</f>
        <v>0</v>
      </c>
      <c r="G47" t="s">
        <v>171</v>
      </c>
      <c r="H47" t="str">
        <f>"'Rates 2020"&amp;IF(Calculations!$C$39="Uni-sex","","-"&amp;LEFT($C$12,1))&amp;"'!$B$8:$L$68"</f>
        <v>'Rates 2020'!$B$8:$L$68</v>
      </c>
    </row>
    <row r="48" spans="2:8" x14ac:dyDescent="0.4">
      <c r="B48" s="23" t="s">
        <v>27</v>
      </c>
      <c r="C48" s="43">
        <f ca="1">IFERROR(Calculations!C$42*INDEX(INDIRECT($H$47),MATCH($C$11,INDIRECT($H$48),0),MATCH(C$46,INDIRECT($H$49),0)),0)</f>
        <v>0</v>
      </c>
      <c r="D48" s="43">
        <f ca="1">IFERROR(Calculations!D$42*INDEX(INDIRECT($H$47),MATCH($C$11,INDIRECT($H$48),0),MATCH(D$46,INDIRECT($H$49),0)),0)</f>
        <v>0</v>
      </c>
      <c r="E48" s="43">
        <f ca="1">IFERROR(Calculations!E$42*INDEX(INDIRECT($H$47),MATCH($C$11,INDIRECT($H$48),0),MATCH(E$46,INDIRECT($H$49),0)),0)</f>
        <v>0</v>
      </c>
      <c r="G48" t="s">
        <v>172</v>
      </c>
      <c r="H48" s="130" t="str">
        <f>"'Rates 2020"&amp;IF(Calculations!$C$39="Uni-sex","","-"&amp;LEFT($C$12,1))&amp;"'!$A$8:$A$68"</f>
        <v>'Rates 2020'!$A$8:$A$68</v>
      </c>
    </row>
    <row r="49" spans="2:8" x14ac:dyDescent="0.4">
      <c r="B49" s="23" t="s">
        <v>28</v>
      </c>
      <c r="C49" s="43">
        <f ca="1">IFERROR(Calculations!C$42*INDEX(INDIRECT($H$47),MATCH($C$11,INDIRECT($H$48),0),MATCH(C$46,INDIRECT($H$49),0)),0)</f>
        <v>0</v>
      </c>
      <c r="D49" s="43">
        <f ca="1">IFERROR(Calculations!D$42*INDEX(INDIRECT($H$47),MATCH($C$11,INDIRECT($H$48),0),MATCH(D$46,INDIRECT($H$49),0)),0)</f>
        <v>0</v>
      </c>
      <c r="E49" s="43">
        <f ca="1">IFERROR(Calculations!E$43*INDEX(INDIRECT($H$47),MATCH($C$11,INDIRECT($H$48),0),MATCH(E$66,INDIRECT($H$49),0)),0)</f>
        <v>0</v>
      </c>
      <c r="G49" t="s">
        <v>35</v>
      </c>
      <c r="H49" s="130" t="str">
        <f>"'Rates 2020"&amp;IF(Calculations!$C$39="Uni-sex","","-"&amp;LEFT($C$12,1))&amp;"'!$B$7:$L$7"</f>
        <v>'Rates 2020'!$B$7:$L$7</v>
      </c>
    </row>
    <row r="51" spans="2:8" x14ac:dyDescent="0.4">
      <c r="B51" s="36" t="s">
        <v>25</v>
      </c>
      <c r="C51" s="23" t="s">
        <v>67</v>
      </c>
      <c r="D51" s="23" t="s">
        <v>68</v>
      </c>
      <c r="E51" s="23" t="s">
        <v>69</v>
      </c>
    </row>
    <row r="52" spans="2:8" x14ac:dyDescent="0.4">
      <c r="B52" s="23" t="s">
        <v>31</v>
      </c>
      <c r="C52" s="77">
        <f ca="1">IF(C$19="No basic cover","n/a",MIN(C$23,_xlfn.CEILING.MATH(C$29,1000)))</f>
        <v>0</v>
      </c>
      <c r="D52" s="77">
        <f ca="1">IF(D$19="No basic cover","n/a",MIN(D$23,_xlfn.CEILING.MATH(D$29,1000)))</f>
        <v>0</v>
      </c>
      <c r="E52" s="77">
        <f ca="1">IF(E$19="No basic cover","n/a",MIN(E$23,_xlfn.CEILING.MATH(E$29,100)))</f>
        <v>0</v>
      </c>
    </row>
    <row r="53" spans="2:8" x14ac:dyDescent="0.4">
      <c r="B53" s="23" t="s">
        <v>26</v>
      </c>
      <c r="C53" s="78">
        <f ca="1">IF(C19="No basic cover",0,C52/10000*C$47)</f>
        <v>0</v>
      </c>
      <c r="D53" s="78">
        <f ca="1">IF(D19="No basic cover",0,D52/10000*D$47)</f>
        <v>0</v>
      </c>
      <c r="E53" s="78">
        <f ca="1">IF(E19="No basic cover",0,E52/100*E$47)</f>
        <v>0</v>
      </c>
    </row>
    <row r="55" spans="2:8" x14ac:dyDescent="0.4">
      <c r="B55" s="74" t="s">
        <v>27</v>
      </c>
      <c r="C55" s="27" t="s">
        <v>67</v>
      </c>
      <c r="D55" s="27" t="s">
        <v>68</v>
      </c>
      <c r="E55" s="27" t="s">
        <v>69</v>
      </c>
    </row>
    <row r="56" spans="2:8" x14ac:dyDescent="0.4">
      <c r="B56" s="27" t="s">
        <v>31</v>
      </c>
      <c r="C56" s="75">
        <f ca="1">IF(C$19="No basic cover","n/a",MIN(C$24,_xlfn.CEILING.MATH(C$29,1000)))</f>
        <v>0</v>
      </c>
      <c r="D56" s="75">
        <f ca="1">IF(D$19="No basic cover","n/a",MIN(D$24,_xlfn.CEILING.MATH(D$29,1000)))</f>
        <v>0</v>
      </c>
      <c r="E56" s="75">
        <f ca="1">IF(E$19="No basic cover","n/a",MIN(E$24,_xlfn.CEILING.MATH(E$29,100)))</f>
        <v>0</v>
      </c>
    </row>
    <row r="57" spans="2:8" x14ac:dyDescent="0.4">
      <c r="B57" s="27" t="s">
        <v>26</v>
      </c>
      <c r="C57" s="76">
        <f ca="1">IF(C19="No basic cover",0,C56/10000*C$48)</f>
        <v>0</v>
      </c>
      <c r="D57" s="76">
        <f ca="1">IF(D19="No basic cover",0,D56/10000*D$48)</f>
        <v>0</v>
      </c>
      <c r="E57" s="76">
        <f ca="1">IF(E19="No basic cover",0,E56/100*E$48)</f>
        <v>0</v>
      </c>
    </row>
    <row r="58" spans="2:8" ht="43.75" x14ac:dyDescent="0.4">
      <c r="B58" t="s">
        <v>82</v>
      </c>
      <c r="C58" s="40" t="str">
        <f ca="1">IF(C69,"^ Basic Death cover ends at age "&amp;C68&amp;".",IF(C$19="No basic cover","You do not have basic Death cover.",IF(C56&gt;C52,"^ You will be capped at the automatic limit of $"&amp;TEXT(C52,"0,000")&amp;". To have basic cover above the automatic limit in line with your salary, you’ll need to provide detailed health information for the Insurer to consider.","")))</f>
        <v>^ Basic Death cover ends at age 65.</v>
      </c>
      <c r="D58" s="40" t="str">
        <f ca="1">IF(D69,"† Basic TPD cover ends at age "&amp;D68&amp;".",IF(D$19="No basic cover","You do not have basic TPD cover.",IF(D56&gt;D52,"† You will be capped at the automatic limit of $"&amp;TEXT(D52,"0,000")&amp;". To have basic cover above the automatic limit in line with your salary, you’ll need to provide detailed health information for the Insurer to consider.","")))</f>
        <v>† Basic TPD cover ends at age 65.</v>
      </c>
      <c r="E58" s="40" t="str">
        <f ca="1">IF(E69,"‡ Basic Income Protection ends at age "&amp;E68&amp;".",IF(E$19="No basic cover","You do not have basic Income Protection.",IF(E56&gt;E52,"‡ You will be capped at the automatic limit of $"&amp;TEXT(E52,"0,000")&amp;". To have basic cover above the automatic limit in line with your salary, you’ll need to provide detailed health information for the Insurer to consider.","")))</f>
        <v>‡ Basic Income Protection ends at age 70.</v>
      </c>
      <c r="F58" t="s">
        <v>95</v>
      </c>
    </row>
    <row r="60" spans="2:8" x14ac:dyDescent="0.4">
      <c r="B60" s="71" t="s">
        <v>28</v>
      </c>
      <c r="C60" s="51" t="s">
        <v>67</v>
      </c>
      <c r="D60" s="51" t="s">
        <v>68</v>
      </c>
      <c r="E60" s="51" t="s">
        <v>69</v>
      </c>
    </row>
    <row r="61" spans="2:8" x14ac:dyDescent="0.4">
      <c r="B61" s="51" t="s">
        <v>31</v>
      </c>
      <c r="C61" s="72">
        <f>Summary!J9</f>
        <v>0</v>
      </c>
      <c r="D61" s="72">
        <f>Summary!J10</f>
        <v>0</v>
      </c>
      <c r="E61" s="72">
        <f>Summary!J15</f>
        <v>0</v>
      </c>
    </row>
    <row r="62" spans="2:8" x14ac:dyDescent="0.4">
      <c r="B62" s="51" t="s">
        <v>26</v>
      </c>
      <c r="C62" s="73">
        <f ca="1">C61/10000*C$49</f>
        <v>0</v>
      </c>
      <c r="D62" s="73">
        <f ca="1">D61/10000*D$49</f>
        <v>0</v>
      </c>
      <c r="E62" s="73">
        <f ca="1">E61/100*E$49</f>
        <v>0</v>
      </c>
    </row>
    <row r="64" spans="2:8" x14ac:dyDescent="0.4">
      <c r="D64" s="34" t="s">
        <v>79</v>
      </c>
      <c r="E64" s="26" t="e">
        <f>VALUE(RIGHT(SUBSTITUTE(Summary!J16," years",""),2))</f>
        <v>#VALUE!</v>
      </c>
    </row>
    <row r="65" spans="2:5" x14ac:dyDescent="0.4">
      <c r="D65" s="34" t="s">
        <v>80</v>
      </c>
      <c r="E65" s="26" t="e">
        <f>VALUE(SUBSTITUTE(Summary!J17," days",""))</f>
        <v>#VALUE!</v>
      </c>
    </row>
    <row r="66" spans="2:5" x14ac:dyDescent="0.4">
      <c r="D66" s="34" t="s">
        <v>70</v>
      </c>
      <c r="E66" s="26" t="e">
        <f>"SE_STD_"&amp;E64&amp;"_"&amp;E65</f>
        <v>#VALUE!</v>
      </c>
    </row>
    <row r="68" spans="2:5" x14ac:dyDescent="0.4">
      <c r="B68" t="s">
        <v>165</v>
      </c>
      <c r="C68">
        <f>MIN(C34,C22)</f>
        <v>65</v>
      </c>
      <c r="D68">
        <f t="shared" ref="D68" si="0">MIN(D34,D22)</f>
        <v>65</v>
      </c>
      <c r="E68">
        <f>MIN(IF(E25=2,70,65),E22)</f>
        <v>70</v>
      </c>
    </row>
    <row r="69" spans="2:5" x14ac:dyDescent="0.4">
      <c r="B69" t="s">
        <v>166</v>
      </c>
      <c r="C69" t="b">
        <f ca="1">$C$11&gt;=C68</f>
        <v>1</v>
      </c>
      <c r="D69" t="b">
        <f ca="1">$C$11&gt;=D68</f>
        <v>1</v>
      </c>
      <c r="E69" t="b">
        <f t="shared" ref="E69" ca="1" si="1">$C$11&gt;=E68</f>
        <v>1</v>
      </c>
    </row>
    <row r="70" spans="2:5" x14ac:dyDescent="0.4">
      <c r="B70" t="s">
        <v>167</v>
      </c>
      <c r="C70" t="b">
        <f ca="1">OR($C$11&lt;15,$C$11&gt;69)</f>
        <v>1</v>
      </c>
      <c r="D70" t="b">
        <f ca="1">OR($C$11&lt;15,$C$11&gt;64)</f>
        <v>1</v>
      </c>
      <c r="E70" t="b">
        <f ca="1">OR($C$11&lt;15,$C$11&gt;64)</f>
        <v>1</v>
      </c>
    </row>
    <row r="71" spans="2:5" x14ac:dyDescent="0.4">
      <c r="B71" t="s">
        <v>168</v>
      </c>
      <c r="C71" t="b">
        <f ca="1">C56&gt;C23</f>
        <v>0</v>
      </c>
      <c r="D71" t="b">
        <f t="shared" ref="D71:E71" ca="1" si="2">D56&gt;D23</f>
        <v>0</v>
      </c>
      <c r="E71" t="b">
        <f t="shared" ca="1" si="2"/>
        <v>0</v>
      </c>
    </row>
  </sheetData>
  <sheetProtection algorithmName="SHA-512" hashValue="KLftq7fBv7LczRdCkJt/yKDOpkNU087x0acu8XowTaz0NKwQuC+vBCQn4hQ6u+TtrCmtWJvXUKdxjDlXVWbzIg==" saltValue="u2QHYlhducm36zyGO1kERQ==" spinCount="100000" sheet="1" objects="1" scenarios="1" selectLockedCells="1" selectUnlockedCells="1"/>
  <dataConsolidate/>
  <mergeCells count="1">
    <mergeCell ref="K2:N2"/>
  </mergeCells>
  <pageMargins left="0.7" right="0.7" top="0.75" bottom="0.75" header="0.3" footer="0.3"/>
  <pageSetup paperSize="9" orientation="portrait" r:id="rId1"/>
  <ignoredErrors>
    <ignoredError sqref="C31:E3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36CA1-7704-4CE9-B1D2-91522271872F}">
  <sheetPr codeName="Sheet4">
    <tabColor rgb="FF00B0F0"/>
  </sheetPr>
  <dimension ref="B2:K61"/>
  <sheetViews>
    <sheetView zoomScaleNormal="100" workbookViewId="0">
      <selection activeCell="C7" sqref="C7"/>
    </sheetView>
  </sheetViews>
  <sheetFormatPr defaultRowHeight="14.6" x14ac:dyDescent="0.4"/>
  <cols>
    <col min="1" max="1" width="5.53515625" customWidth="1"/>
    <col min="2" max="2" width="25.53515625" customWidth="1"/>
    <col min="3" max="7" width="13.15234375" customWidth="1"/>
    <col min="8" max="8" width="5.53515625" customWidth="1"/>
  </cols>
  <sheetData>
    <row r="2" spans="2:11" x14ac:dyDescent="0.4">
      <c r="B2" s="23" t="s">
        <v>44</v>
      </c>
      <c r="C2" s="129" t="s">
        <v>184</v>
      </c>
      <c r="J2" t="s">
        <v>84</v>
      </c>
      <c r="K2">
        <v>2</v>
      </c>
    </row>
    <row r="3" spans="2:11" x14ac:dyDescent="0.4">
      <c r="B3" s="59" t="s">
        <v>127</v>
      </c>
      <c r="C3" s="60">
        <v>1</v>
      </c>
      <c r="J3" t="s">
        <v>85</v>
      </c>
    </row>
    <row r="4" spans="2:11" x14ac:dyDescent="0.4">
      <c r="B4" s="23" t="s">
        <v>77</v>
      </c>
      <c r="C4" s="56">
        <v>1</v>
      </c>
      <c r="D4" s="22">
        <v>2</v>
      </c>
      <c r="E4" s="22">
        <v>3</v>
      </c>
      <c r="F4" s="22">
        <v>4</v>
      </c>
      <c r="G4" s="22">
        <v>5</v>
      </c>
      <c r="J4" t="s">
        <v>78</v>
      </c>
    </row>
    <row r="5" spans="2:11" x14ac:dyDescent="0.4">
      <c r="B5" s="23" t="s">
        <v>72</v>
      </c>
      <c r="C5" s="22" t="s">
        <v>186</v>
      </c>
      <c r="D5" s="22" t="s">
        <v>187</v>
      </c>
      <c r="E5" s="22" t="s">
        <v>188</v>
      </c>
      <c r="F5" s="22" t="s">
        <v>189</v>
      </c>
      <c r="G5" s="22" t="s">
        <v>190</v>
      </c>
      <c r="J5" t="s">
        <v>86</v>
      </c>
    </row>
    <row r="6" spans="2:11" x14ac:dyDescent="0.4">
      <c r="B6" s="23" t="s">
        <v>81</v>
      </c>
      <c r="C6" s="28">
        <v>18</v>
      </c>
      <c r="D6" s="28" t="s">
        <v>191</v>
      </c>
      <c r="E6" s="28" t="s">
        <v>191</v>
      </c>
      <c r="F6" s="28" t="s">
        <v>191</v>
      </c>
      <c r="G6" s="28" t="s">
        <v>191</v>
      </c>
    </row>
    <row r="7" spans="2:11" ht="131.15" x14ac:dyDescent="0.4">
      <c r="B7" s="23" t="s">
        <v>91</v>
      </c>
      <c r="C7" s="45" t="s">
        <v>185</v>
      </c>
      <c r="D7" s="45" t="s">
        <v>191</v>
      </c>
      <c r="E7" s="45" t="s">
        <v>191</v>
      </c>
      <c r="F7" s="45" t="s">
        <v>191</v>
      </c>
      <c r="G7" s="45" t="s">
        <v>191</v>
      </c>
    </row>
    <row r="8" spans="2:11" x14ac:dyDescent="0.4">
      <c r="B8" s="23" t="s">
        <v>131</v>
      </c>
      <c r="C8" s="45" t="s">
        <v>43</v>
      </c>
      <c r="D8" s="45" t="s">
        <v>191</v>
      </c>
      <c r="E8" s="45" t="s">
        <v>191</v>
      </c>
      <c r="F8" s="45" t="s">
        <v>191</v>
      </c>
      <c r="G8" s="45" t="s">
        <v>191</v>
      </c>
    </row>
    <row r="9" spans="2:11" x14ac:dyDescent="0.4">
      <c r="B9" s="23" t="s">
        <v>36</v>
      </c>
      <c r="C9" s="22" t="s">
        <v>64</v>
      </c>
      <c r="D9" s="22" t="s">
        <v>191</v>
      </c>
      <c r="E9" s="22" t="s">
        <v>191</v>
      </c>
      <c r="F9" s="22" t="s">
        <v>191</v>
      </c>
      <c r="G9" s="22" t="s">
        <v>191</v>
      </c>
    </row>
    <row r="10" spans="2:11" x14ac:dyDescent="0.4">
      <c r="B10" s="42" t="s">
        <v>47</v>
      </c>
      <c r="C10" s="22" t="s">
        <v>33</v>
      </c>
      <c r="D10" s="22" t="s">
        <v>191</v>
      </c>
      <c r="E10" s="22" t="s">
        <v>191</v>
      </c>
      <c r="F10" s="22" t="s">
        <v>191</v>
      </c>
      <c r="G10" s="22" t="s">
        <v>191</v>
      </c>
    </row>
    <row r="11" spans="2:11" x14ac:dyDescent="0.4">
      <c r="B11" s="23" t="s">
        <v>46</v>
      </c>
      <c r="C11" s="22">
        <v>70</v>
      </c>
      <c r="D11" s="22" t="s">
        <v>191</v>
      </c>
      <c r="E11" s="22" t="s">
        <v>191</v>
      </c>
      <c r="F11" s="22" t="s">
        <v>191</v>
      </c>
      <c r="G11" s="22" t="s">
        <v>191</v>
      </c>
    </row>
    <row r="12" spans="2:11" x14ac:dyDescent="0.4">
      <c r="B12" s="51" t="s">
        <v>114</v>
      </c>
      <c r="C12" s="22" t="s">
        <v>191</v>
      </c>
      <c r="D12" s="22" t="s">
        <v>191</v>
      </c>
      <c r="E12" s="22" t="s">
        <v>191</v>
      </c>
      <c r="F12" s="22" t="s">
        <v>191</v>
      </c>
      <c r="G12" s="22" t="s">
        <v>191</v>
      </c>
    </row>
    <row r="13" spans="2:11" x14ac:dyDescent="0.4">
      <c r="B13" s="51" t="s">
        <v>126</v>
      </c>
      <c r="C13" s="22" t="s">
        <v>191</v>
      </c>
      <c r="D13" s="22" t="s">
        <v>191</v>
      </c>
      <c r="E13" s="22" t="s">
        <v>191</v>
      </c>
      <c r="F13" s="22" t="s">
        <v>191</v>
      </c>
      <c r="G13" s="22" t="s">
        <v>191</v>
      </c>
    </row>
    <row r="14" spans="2:11" x14ac:dyDescent="0.4">
      <c r="B14" s="51" t="s">
        <v>48</v>
      </c>
      <c r="C14" s="22">
        <v>0.15</v>
      </c>
      <c r="D14" s="22" t="s">
        <v>191</v>
      </c>
      <c r="E14" s="22" t="s">
        <v>191</v>
      </c>
      <c r="F14" s="22" t="s">
        <v>191</v>
      </c>
      <c r="G14" s="22" t="s">
        <v>191</v>
      </c>
    </row>
    <row r="15" spans="2:11" x14ac:dyDescent="0.4">
      <c r="B15" s="51" t="s">
        <v>45</v>
      </c>
      <c r="C15" s="22">
        <v>65</v>
      </c>
      <c r="D15" s="22" t="s">
        <v>191</v>
      </c>
      <c r="E15" s="22" t="s">
        <v>191</v>
      </c>
      <c r="F15" s="22" t="s">
        <v>191</v>
      </c>
      <c r="G15" s="22" t="s">
        <v>191</v>
      </c>
    </row>
    <row r="16" spans="2:11" x14ac:dyDescent="0.4">
      <c r="B16" s="51" t="s">
        <v>123</v>
      </c>
      <c r="C16" s="22" t="s">
        <v>191</v>
      </c>
      <c r="D16" s="22" t="s">
        <v>191</v>
      </c>
      <c r="E16" s="22" t="s">
        <v>191</v>
      </c>
      <c r="F16" s="22" t="s">
        <v>191</v>
      </c>
      <c r="G16" s="22" t="s">
        <v>191</v>
      </c>
    </row>
    <row r="17" spans="2:7" x14ac:dyDescent="0.4">
      <c r="B17" s="58" t="s">
        <v>49</v>
      </c>
      <c r="C17" s="22">
        <v>1500000</v>
      </c>
      <c r="D17" s="22" t="s">
        <v>191</v>
      </c>
      <c r="E17" s="22" t="s">
        <v>191</v>
      </c>
      <c r="F17" s="22" t="s">
        <v>191</v>
      </c>
      <c r="G17" s="22" t="s">
        <v>191</v>
      </c>
    </row>
    <row r="18" spans="2:7" x14ac:dyDescent="0.4">
      <c r="B18" s="58" t="s">
        <v>50</v>
      </c>
      <c r="C18" s="22">
        <v>999999999</v>
      </c>
      <c r="D18" s="22" t="s">
        <v>191</v>
      </c>
      <c r="E18" s="22" t="s">
        <v>191</v>
      </c>
      <c r="F18" s="22" t="s">
        <v>191</v>
      </c>
      <c r="G18" s="22" t="s">
        <v>191</v>
      </c>
    </row>
    <row r="19" spans="2:7" x14ac:dyDescent="0.4">
      <c r="B19" s="42" t="s">
        <v>53</v>
      </c>
      <c r="C19" s="22" t="s">
        <v>33</v>
      </c>
      <c r="D19" s="22" t="s">
        <v>191</v>
      </c>
      <c r="E19" s="22" t="s">
        <v>191</v>
      </c>
      <c r="F19" s="22" t="s">
        <v>191</v>
      </c>
      <c r="G19" s="22" t="s">
        <v>191</v>
      </c>
    </row>
    <row r="20" spans="2:7" x14ac:dyDescent="0.4">
      <c r="B20" s="23" t="s">
        <v>52</v>
      </c>
      <c r="C20" s="22">
        <v>65</v>
      </c>
      <c r="D20" s="22" t="s">
        <v>191</v>
      </c>
      <c r="E20" s="22" t="s">
        <v>191</v>
      </c>
      <c r="F20" s="22" t="s">
        <v>191</v>
      </c>
      <c r="G20" s="22" t="s">
        <v>191</v>
      </c>
    </row>
    <row r="21" spans="2:7" x14ac:dyDescent="0.4">
      <c r="B21" s="51" t="s">
        <v>115</v>
      </c>
      <c r="C21" s="22" t="s">
        <v>191</v>
      </c>
      <c r="D21" s="22" t="s">
        <v>191</v>
      </c>
      <c r="E21" s="22" t="s">
        <v>191</v>
      </c>
      <c r="F21" s="22" t="s">
        <v>191</v>
      </c>
      <c r="G21" s="22" t="s">
        <v>191</v>
      </c>
    </row>
    <row r="22" spans="2:7" x14ac:dyDescent="0.4">
      <c r="B22" s="51" t="s">
        <v>125</v>
      </c>
      <c r="C22" s="22" t="s">
        <v>191</v>
      </c>
      <c r="D22" s="22" t="s">
        <v>191</v>
      </c>
      <c r="E22" s="22" t="s">
        <v>191</v>
      </c>
      <c r="F22" s="22" t="s">
        <v>191</v>
      </c>
      <c r="G22" s="22" t="s">
        <v>191</v>
      </c>
    </row>
    <row r="23" spans="2:7" x14ac:dyDescent="0.4">
      <c r="B23" s="51" t="s">
        <v>54</v>
      </c>
      <c r="C23" s="22">
        <v>0.15</v>
      </c>
      <c r="D23" s="22" t="s">
        <v>191</v>
      </c>
      <c r="E23" s="22" t="s">
        <v>191</v>
      </c>
      <c r="F23" s="22" t="s">
        <v>191</v>
      </c>
      <c r="G23" s="22" t="s">
        <v>191</v>
      </c>
    </row>
    <row r="24" spans="2:7" x14ac:dyDescent="0.4">
      <c r="B24" s="51" t="s">
        <v>51</v>
      </c>
      <c r="C24" s="22">
        <v>65</v>
      </c>
      <c r="D24" s="22" t="s">
        <v>191</v>
      </c>
      <c r="E24" s="22" t="s">
        <v>191</v>
      </c>
      <c r="F24" s="22" t="s">
        <v>191</v>
      </c>
      <c r="G24" s="22" t="s">
        <v>191</v>
      </c>
    </row>
    <row r="25" spans="2:7" x14ac:dyDescent="0.4">
      <c r="B25" s="51" t="s">
        <v>122</v>
      </c>
      <c r="C25" s="22" t="s">
        <v>191</v>
      </c>
      <c r="D25" s="22" t="s">
        <v>191</v>
      </c>
      <c r="E25" s="22" t="s">
        <v>191</v>
      </c>
      <c r="F25" s="22" t="s">
        <v>191</v>
      </c>
      <c r="G25" s="22" t="s">
        <v>191</v>
      </c>
    </row>
    <row r="26" spans="2:7" x14ac:dyDescent="0.4">
      <c r="B26" s="58" t="s">
        <v>55</v>
      </c>
      <c r="C26" s="22">
        <v>1500000</v>
      </c>
      <c r="D26" s="22" t="s">
        <v>191</v>
      </c>
      <c r="E26" s="22" t="s">
        <v>191</v>
      </c>
      <c r="F26" s="22" t="s">
        <v>191</v>
      </c>
      <c r="G26" s="22" t="s">
        <v>191</v>
      </c>
    </row>
    <row r="27" spans="2:7" x14ac:dyDescent="0.4">
      <c r="B27" s="58" t="s">
        <v>56</v>
      </c>
      <c r="C27" s="22">
        <v>3000000</v>
      </c>
      <c r="D27" s="22" t="s">
        <v>191</v>
      </c>
      <c r="E27" s="22" t="s">
        <v>191</v>
      </c>
      <c r="F27" s="22" t="s">
        <v>191</v>
      </c>
      <c r="G27" s="22" t="s">
        <v>191</v>
      </c>
    </row>
    <row r="28" spans="2:7" x14ac:dyDescent="0.4">
      <c r="B28" s="42" t="s">
        <v>60</v>
      </c>
      <c r="C28" s="22" t="s">
        <v>119</v>
      </c>
      <c r="D28" s="22" t="s">
        <v>191</v>
      </c>
      <c r="E28" s="22" t="s">
        <v>191</v>
      </c>
      <c r="F28" s="22" t="s">
        <v>191</v>
      </c>
      <c r="G28" s="22" t="s">
        <v>191</v>
      </c>
    </row>
    <row r="29" spans="2:7" x14ac:dyDescent="0.4">
      <c r="B29" s="23" t="s">
        <v>57</v>
      </c>
      <c r="C29" s="22">
        <v>70</v>
      </c>
      <c r="D29" s="22" t="s">
        <v>191</v>
      </c>
      <c r="E29" s="22" t="s">
        <v>191</v>
      </c>
      <c r="F29" s="22" t="s">
        <v>191</v>
      </c>
      <c r="G29" s="22" t="s">
        <v>191</v>
      </c>
    </row>
    <row r="30" spans="2:7" x14ac:dyDescent="0.4">
      <c r="B30" s="23" t="s">
        <v>58</v>
      </c>
      <c r="C30" s="22">
        <v>2</v>
      </c>
      <c r="D30" s="22" t="s">
        <v>191</v>
      </c>
      <c r="E30" s="22" t="s">
        <v>191</v>
      </c>
      <c r="F30" s="22" t="s">
        <v>191</v>
      </c>
      <c r="G30" s="22" t="s">
        <v>191</v>
      </c>
    </row>
    <row r="31" spans="2:7" x14ac:dyDescent="0.4">
      <c r="B31" s="23" t="s">
        <v>59</v>
      </c>
      <c r="C31" s="22">
        <v>30</v>
      </c>
      <c r="D31" s="22" t="s">
        <v>191</v>
      </c>
      <c r="E31" s="22" t="s">
        <v>191</v>
      </c>
      <c r="F31" s="22" t="s">
        <v>191</v>
      </c>
      <c r="G31" s="22" t="s">
        <v>191</v>
      </c>
    </row>
    <row r="32" spans="2:7" x14ac:dyDescent="0.4">
      <c r="B32" s="49" t="s">
        <v>116</v>
      </c>
      <c r="C32" s="22" t="s">
        <v>191</v>
      </c>
      <c r="D32" s="22" t="s">
        <v>191</v>
      </c>
      <c r="E32" s="22" t="s">
        <v>191</v>
      </c>
      <c r="F32" s="22" t="s">
        <v>191</v>
      </c>
      <c r="G32" s="22" t="s">
        <v>191</v>
      </c>
    </row>
    <row r="33" spans="2:7" x14ac:dyDescent="0.4">
      <c r="B33" s="49" t="s">
        <v>124</v>
      </c>
      <c r="C33" s="22" t="s">
        <v>191</v>
      </c>
      <c r="D33" s="22" t="s">
        <v>191</v>
      </c>
      <c r="E33" s="22" t="s">
        <v>191</v>
      </c>
      <c r="F33" s="22" t="s">
        <v>191</v>
      </c>
      <c r="G33" s="22" t="s">
        <v>191</v>
      </c>
    </row>
    <row r="34" spans="2:7" x14ac:dyDescent="0.4">
      <c r="B34" s="49" t="s">
        <v>61</v>
      </c>
      <c r="C34" s="22">
        <v>0.75</v>
      </c>
      <c r="D34" s="22" t="s">
        <v>191</v>
      </c>
      <c r="E34" s="22" t="s">
        <v>191</v>
      </c>
      <c r="F34" s="22" t="s">
        <v>191</v>
      </c>
      <c r="G34" s="22" t="s">
        <v>191</v>
      </c>
    </row>
    <row r="35" spans="2:7" x14ac:dyDescent="0.4">
      <c r="B35" s="23" t="s">
        <v>62</v>
      </c>
      <c r="C35" s="22">
        <v>14000</v>
      </c>
      <c r="D35" s="22" t="s">
        <v>191</v>
      </c>
      <c r="E35" s="22" t="s">
        <v>191</v>
      </c>
      <c r="F35" s="22" t="s">
        <v>191</v>
      </c>
      <c r="G35" s="22" t="s">
        <v>191</v>
      </c>
    </row>
    <row r="36" spans="2:7" x14ac:dyDescent="0.4">
      <c r="B36" s="58" t="s">
        <v>63</v>
      </c>
      <c r="C36" s="22">
        <v>30000</v>
      </c>
      <c r="D36" s="22" t="s">
        <v>191</v>
      </c>
      <c r="E36" s="22" t="s">
        <v>191</v>
      </c>
      <c r="F36" s="22" t="s">
        <v>191</v>
      </c>
      <c r="G36" s="22" t="s">
        <v>191</v>
      </c>
    </row>
    <row r="38" spans="2:7" x14ac:dyDescent="0.4">
      <c r="B38" s="23" t="s">
        <v>75</v>
      </c>
      <c r="C38" s="44" t="s">
        <v>169</v>
      </c>
      <c r="D38" s="44" t="s">
        <v>191</v>
      </c>
      <c r="E38" s="44" t="s">
        <v>191</v>
      </c>
      <c r="F38" s="44" t="s">
        <v>191</v>
      </c>
      <c r="G38" s="44" t="s">
        <v>191</v>
      </c>
    </row>
    <row r="40" spans="2:7" ht="43.75" x14ac:dyDescent="0.4">
      <c r="B40" s="63" t="s">
        <v>129</v>
      </c>
      <c r="C40" s="45" t="s">
        <v>192</v>
      </c>
      <c r="D40" s="45" t="s">
        <v>191</v>
      </c>
      <c r="E40" s="45" t="s">
        <v>191</v>
      </c>
      <c r="F40" s="45" t="s">
        <v>191</v>
      </c>
      <c r="G40" s="45" t="s">
        <v>191</v>
      </c>
    </row>
    <row r="41" spans="2:7" x14ac:dyDescent="0.4">
      <c r="B41" s="61" t="s">
        <v>113</v>
      </c>
      <c r="C41" s="62" t="s">
        <v>191</v>
      </c>
      <c r="D41" s="62" t="s">
        <v>191</v>
      </c>
      <c r="E41" s="62" t="s">
        <v>191</v>
      </c>
      <c r="F41" s="62" t="s">
        <v>191</v>
      </c>
      <c r="G41" s="62" t="s">
        <v>191</v>
      </c>
    </row>
    <row r="42" spans="2:7" x14ac:dyDescent="0.4">
      <c r="B42" s="61" t="s">
        <v>128</v>
      </c>
      <c r="C42" s="62" t="s">
        <v>128</v>
      </c>
      <c r="D42" s="62" t="s">
        <v>191</v>
      </c>
      <c r="E42" s="62" t="s">
        <v>191</v>
      </c>
      <c r="F42" s="62" t="s">
        <v>191</v>
      </c>
      <c r="G42" s="62" t="s">
        <v>191</v>
      </c>
    </row>
    <row r="43" spans="2:7" ht="29.15" x14ac:dyDescent="0.4">
      <c r="B43" s="61" t="s">
        <v>117</v>
      </c>
      <c r="C43" s="53" t="s">
        <v>117</v>
      </c>
      <c r="D43" s="53" t="s">
        <v>191</v>
      </c>
      <c r="E43" s="53" t="s">
        <v>191</v>
      </c>
      <c r="F43" s="53" t="s">
        <v>191</v>
      </c>
      <c r="G43" s="53" t="s">
        <v>191</v>
      </c>
    </row>
    <row r="44" spans="2:7" ht="29.15" x14ac:dyDescent="0.4">
      <c r="B44" s="61" t="s">
        <v>118</v>
      </c>
      <c r="C44" s="53" t="s">
        <v>117</v>
      </c>
      <c r="D44" s="53" t="s">
        <v>191</v>
      </c>
      <c r="E44" s="53" t="s">
        <v>191</v>
      </c>
      <c r="F44" s="53" t="s">
        <v>191</v>
      </c>
      <c r="G44" s="53" t="s">
        <v>191</v>
      </c>
    </row>
    <row r="45" spans="2:7" ht="43.75" x14ac:dyDescent="0.4">
      <c r="B45" s="61" t="s">
        <v>33</v>
      </c>
      <c r="C45" s="52" t="s">
        <v>192</v>
      </c>
      <c r="D45" s="52" t="s">
        <v>191</v>
      </c>
      <c r="E45" s="52" t="s">
        <v>191</v>
      </c>
      <c r="F45" s="52" t="s">
        <v>191</v>
      </c>
      <c r="G45" s="52" t="s">
        <v>191</v>
      </c>
    </row>
    <row r="46" spans="2:7" x14ac:dyDescent="0.4">
      <c r="B46" s="61" t="s">
        <v>66</v>
      </c>
      <c r="C46" s="52" t="s">
        <v>193</v>
      </c>
      <c r="D46" s="52" t="s">
        <v>191</v>
      </c>
      <c r="E46" s="52" t="s">
        <v>191</v>
      </c>
      <c r="F46" s="52" t="s">
        <v>191</v>
      </c>
      <c r="G46" s="52" t="s">
        <v>191</v>
      </c>
    </row>
    <row r="48" spans="2:7" ht="43.75" x14ac:dyDescent="0.4">
      <c r="B48" s="63" t="s">
        <v>130</v>
      </c>
      <c r="C48" s="45" t="s">
        <v>192</v>
      </c>
      <c r="D48" s="45" t="s">
        <v>191</v>
      </c>
      <c r="E48" s="45" t="s">
        <v>191</v>
      </c>
      <c r="F48" s="45" t="s">
        <v>191</v>
      </c>
      <c r="G48" s="45" t="s">
        <v>191</v>
      </c>
    </row>
    <row r="49" spans="2:11" x14ac:dyDescent="0.4">
      <c r="B49" s="61" t="s">
        <v>113</v>
      </c>
      <c r="C49" s="62" t="s">
        <v>191</v>
      </c>
      <c r="D49" s="62" t="s">
        <v>191</v>
      </c>
      <c r="E49" s="62" t="s">
        <v>191</v>
      </c>
      <c r="F49" s="62" t="s">
        <v>191</v>
      </c>
      <c r="G49" s="62" t="s">
        <v>191</v>
      </c>
    </row>
    <row r="50" spans="2:11" x14ac:dyDescent="0.4">
      <c r="B50" s="61" t="s">
        <v>128</v>
      </c>
      <c r="C50" s="62" t="s">
        <v>128</v>
      </c>
      <c r="D50" s="62" t="s">
        <v>191</v>
      </c>
      <c r="E50" s="62" t="s">
        <v>191</v>
      </c>
      <c r="F50" s="62" t="s">
        <v>191</v>
      </c>
      <c r="G50" s="62" t="s">
        <v>191</v>
      </c>
    </row>
    <row r="51" spans="2:11" ht="29.15" x14ac:dyDescent="0.4">
      <c r="B51" s="61" t="s">
        <v>117</v>
      </c>
      <c r="C51" s="53" t="s">
        <v>117</v>
      </c>
      <c r="D51" s="53" t="s">
        <v>191</v>
      </c>
      <c r="E51" s="53" t="s">
        <v>191</v>
      </c>
      <c r="F51" s="53" t="s">
        <v>191</v>
      </c>
      <c r="G51" s="53" t="s">
        <v>191</v>
      </c>
    </row>
    <row r="52" spans="2:11" ht="29.15" x14ac:dyDescent="0.4">
      <c r="B52" s="61" t="s">
        <v>118</v>
      </c>
      <c r="C52" s="53" t="s">
        <v>117</v>
      </c>
      <c r="D52" s="53" t="s">
        <v>191</v>
      </c>
      <c r="E52" s="53" t="s">
        <v>191</v>
      </c>
      <c r="F52" s="53" t="s">
        <v>191</v>
      </c>
      <c r="G52" s="53" t="s">
        <v>191</v>
      </c>
    </row>
    <row r="53" spans="2:11" ht="43.75" x14ac:dyDescent="0.4">
      <c r="B53" s="61" t="s">
        <v>33</v>
      </c>
      <c r="C53" s="52" t="s">
        <v>192</v>
      </c>
      <c r="D53" s="52" t="s">
        <v>191</v>
      </c>
      <c r="E53" s="52" t="s">
        <v>191</v>
      </c>
      <c r="F53" s="52" t="s">
        <v>191</v>
      </c>
      <c r="G53" s="52" t="s">
        <v>191</v>
      </c>
    </row>
    <row r="54" spans="2:11" x14ac:dyDescent="0.4">
      <c r="B54" s="61" t="s">
        <v>66</v>
      </c>
      <c r="C54" s="52" t="s">
        <v>193</v>
      </c>
      <c r="D54" s="52" t="s">
        <v>191</v>
      </c>
      <c r="E54" s="52" t="s">
        <v>191</v>
      </c>
      <c r="F54" s="52" t="s">
        <v>191</v>
      </c>
      <c r="G54" s="52" t="s">
        <v>191</v>
      </c>
    </row>
    <row r="56" spans="2:11" x14ac:dyDescent="0.4">
      <c r="B56" s="64" t="s">
        <v>132</v>
      </c>
      <c r="C56" s="45" t="s">
        <v>194</v>
      </c>
      <c r="D56" s="45" t="s">
        <v>191</v>
      </c>
      <c r="E56" s="45" t="s">
        <v>191</v>
      </c>
      <c r="F56" s="45" t="s">
        <v>191</v>
      </c>
      <c r="G56" s="45" t="s">
        <v>191</v>
      </c>
    </row>
    <row r="57" spans="2:11" x14ac:dyDescent="0.4">
      <c r="B57" s="55" t="s">
        <v>113</v>
      </c>
      <c r="C57" s="54" t="s">
        <v>191</v>
      </c>
      <c r="D57" s="54" t="s">
        <v>191</v>
      </c>
      <c r="E57" s="54" t="s">
        <v>191</v>
      </c>
      <c r="F57" s="54" t="s">
        <v>191</v>
      </c>
      <c r="G57" s="54" t="s">
        <v>191</v>
      </c>
    </row>
    <row r="58" spans="2:11" x14ac:dyDescent="0.4">
      <c r="B58" s="55" t="s">
        <v>128</v>
      </c>
      <c r="C58" s="54" t="s">
        <v>128</v>
      </c>
      <c r="D58" s="54" t="s">
        <v>191</v>
      </c>
      <c r="E58" s="54" t="s">
        <v>191</v>
      </c>
      <c r="F58" s="54" t="s">
        <v>191</v>
      </c>
      <c r="G58" s="54" t="s">
        <v>191</v>
      </c>
    </row>
    <row r="59" spans="2:11" ht="29.15" x14ac:dyDescent="0.4">
      <c r="B59" s="55" t="s">
        <v>117</v>
      </c>
      <c r="C59" s="54" t="s">
        <v>117</v>
      </c>
      <c r="D59" s="54" t="s">
        <v>191</v>
      </c>
      <c r="E59" s="54" t="s">
        <v>191</v>
      </c>
      <c r="F59" s="54" t="s">
        <v>191</v>
      </c>
      <c r="G59" s="54" t="s">
        <v>191</v>
      </c>
    </row>
    <row r="60" spans="2:11" ht="29.15" x14ac:dyDescent="0.4">
      <c r="B60" s="55" t="s">
        <v>118</v>
      </c>
      <c r="C60" s="54" t="s">
        <v>117</v>
      </c>
      <c r="D60" s="54" t="s">
        <v>191</v>
      </c>
      <c r="E60" s="54" t="s">
        <v>191</v>
      </c>
      <c r="F60" s="54" t="s">
        <v>191</v>
      </c>
      <c r="G60" s="54" t="s">
        <v>191</v>
      </c>
    </row>
    <row r="61" spans="2:11" x14ac:dyDescent="0.4">
      <c r="B61" s="55" t="s">
        <v>119</v>
      </c>
      <c r="C61" s="50" t="s">
        <v>194</v>
      </c>
      <c r="D61" s="50" t="s">
        <v>191</v>
      </c>
      <c r="E61" s="50" t="s">
        <v>191</v>
      </c>
      <c r="F61" s="50" t="s">
        <v>191</v>
      </c>
      <c r="G61" s="50" t="s">
        <v>191</v>
      </c>
      <c r="K61" s="108"/>
    </row>
  </sheetData>
  <sheetProtection algorithmName="SHA-512" hashValue="/iw1XQJRxzLAUH/dNz6Uyf5CDadW2qaxR+wxHdi+F7K2Qj6/M8efLVMT24pqPzm/gVwRRwOPugKqvJd+7VK47Q==" saltValue="/egXwyHKAj5XXAGpe4IBOg==" spinCount="100000" sheet="1" objects="1" scenarios="1" selectLockedCells="1" selectUnlockedCells="1"/>
  <dataValidations count="1">
    <dataValidation type="list" allowBlank="1" showInputMessage="1" showErrorMessage="1" sqref="C2" xr:uid="{D12B2A48-CEA8-40D9-88EB-C8DB77A1D770}">
      <formula1>OFFSET(#REF!,0,0,#REF!)</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032A8-577C-4E08-9912-8C4E69C0A044}">
  <sheetPr codeName="Sheet8">
    <tabColor rgb="FF00B0F0"/>
  </sheetPr>
  <dimension ref="A1:L68"/>
  <sheetViews>
    <sheetView workbookViewId="0"/>
  </sheetViews>
  <sheetFormatPr defaultColWidth="8.84375" defaultRowHeight="14.6" x14ac:dyDescent="0.4"/>
  <cols>
    <col min="1" max="12" width="13.15234375" customWidth="1"/>
  </cols>
  <sheetData>
    <row r="1" spans="1:12" ht="21" customHeight="1" x14ac:dyDescent="0.55000000000000004">
      <c r="A1" s="4" t="s">
        <v>195</v>
      </c>
      <c r="B1" s="5"/>
      <c r="C1" s="6"/>
      <c r="D1" s="6"/>
      <c r="E1" s="6"/>
      <c r="F1" s="6"/>
      <c r="G1" s="6"/>
      <c r="H1" s="6"/>
      <c r="I1" s="6"/>
      <c r="J1" s="6"/>
      <c r="K1" s="6"/>
      <c r="L1" s="6"/>
    </row>
    <row r="2" spans="1:12" x14ac:dyDescent="0.4">
      <c r="A2" s="7" t="s">
        <v>0</v>
      </c>
      <c r="B2" s="3"/>
    </row>
    <row r="3" spans="1:12" x14ac:dyDescent="0.4">
      <c r="A3" s="1" t="s">
        <v>1</v>
      </c>
    </row>
    <row r="4" spans="1:12" x14ac:dyDescent="0.4">
      <c r="A4" s="156" t="s">
        <v>2</v>
      </c>
      <c r="B4" s="159" t="s">
        <v>3</v>
      </c>
      <c r="C4" s="160"/>
      <c r="D4" s="161" t="s">
        <v>4</v>
      </c>
      <c r="E4" s="161"/>
      <c r="F4" s="161"/>
      <c r="G4" s="162" t="s">
        <v>5</v>
      </c>
      <c r="H4" s="162"/>
      <c r="I4" s="162"/>
      <c r="J4" s="163" t="s">
        <v>6</v>
      </c>
      <c r="K4" s="163"/>
      <c r="L4" s="163"/>
    </row>
    <row r="5" spans="1:12" x14ac:dyDescent="0.4">
      <c r="A5" s="157"/>
      <c r="B5" s="8" t="s">
        <v>7</v>
      </c>
      <c r="C5" s="8" t="s">
        <v>8</v>
      </c>
      <c r="D5" s="9" t="s">
        <v>9</v>
      </c>
      <c r="E5" s="9" t="s">
        <v>10</v>
      </c>
      <c r="F5" s="9" t="s">
        <v>11</v>
      </c>
      <c r="G5" s="10" t="s">
        <v>9</v>
      </c>
      <c r="H5" s="10" t="s">
        <v>10</v>
      </c>
      <c r="I5" s="10" t="s">
        <v>11</v>
      </c>
      <c r="J5" s="11" t="s">
        <v>9</v>
      </c>
      <c r="K5" s="11" t="s">
        <v>10</v>
      </c>
      <c r="L5" s="24" t="s">
        <v>11</v>
      </c>
    </row>
    <row r="6" spans="1:12" x14ac:dyDescent="0.4">
      <c r="A6" s="158"/>
      <c r="B6" s="12" t="s">
        <v>169</v>
      </c>
      <c r="C6" s="12" t="s">
        <v>169</v>
      </c>
      <c r="D6" s="13" t="s">
        <v>169</v>
      </c>
      <c r="E6" s="13" t="s">
        <v>169</v>
      </c>
      <c r="F6" s="13" t="s">
        <v>169</v>
      </c>
      <c r="G6" s="14" t="s">
        <v>169</v>
      </c>
      <c r="H6" s="14" t="s">
        <v>169</v>
      </c>
      <c r="I6" s="14" t="s">
        <v>169</v>
      </c>
      <c r="J6" s="15" t="s">
        <v>169</v>
      </c>
      <c r="K6" s="15" t="s">
        <v>169</v>
      </c>
      <c r="L6" s="15" t="s">
        <v>169</v>
      </c>
    </row>
    <row r="7" spans="1:12" x14ac:dyDescent="0.4">
      <c r="A7" s="16"/>
      <c r="B7" s="17" t="s">
        <v>12</v>
      </c>
      <c r="C7" s="17" t="s">
        <v>13</v>
      </c>
      <c r="D7" s="17" t="s">
        <v>14</v>
      </c>
      <c r="E7" s="17" t="s">
        <v>15</v>
      </c>
      <c r="F7" s="17" t="s">
        <v>16</v>
      </c>
      <c r="G7" s="17" t="s">
        <v>17</v>
      </c>
      <c r="H7" s="17" t="s">
        <v>18</v>
      </c>
      <c r="I7" s="17" t="s">
        <v>19</v>
      </c>
      <c r="J7" s="17" t="s">
        <v>20</v>
      </c>
      <c r="K7" s="17" t="s">
        <v>21</v>
      </c>
      <c r="L7" s="17" t="s">
        <v>22</v>
      </c>
    </row>
    <row r="8" spans="1:12" x14ac:dyDescent="0.4">
      <c r="A8" s="18">
        <v>15</v>
      </c>
      <c r="B8" s="19">
        <v>0.1148</v>
      </c>
      <c r="C8" s="19">
        <v>7.9799999999999996E-2</v>
      </c>
      <c r="D8" s="20">
        <v>8.3519999999999983E-2</v>
      </c>
      <c r="E8" s="47">
        <v>2.6679999999999999E-2</v>
      </c>
      <c r="F8" s="20">
        <v>2.2039999999999997E-2</v>
      </c>
      <c r="G8" s="20">
        <v>0.20879999999999999</v>
      </c>
      <c r="H8" s="20">
        <v>0.14384</v>
      </c>
      <c r="I8" s="20">
        <v>0.11947999999999999</v>
      </c>
      <c r="J8" s="20">
        <v>0.51156000000000001</v>
      </c>
      <c r="K8" s="20">
        <v>0.37351999999999996</v>
      </c>
      <c r="L8" s="20">
        <v>0.33059999999999995</v>
      </c>
    </row>
    <row r="9" spans="1:12" x14ac:dyDescent="0.4">
      <c r="A9" s="21">
        <v>16</v>
      </c>
      <c r="B9" s="19">
        <v>0.1148</v>
      </c>
      <c r="C9" s="19">
        <v>7.9799999999999996E-2</v>
      </c>
      <c r="D9" s="20">
        <v>8.3519999999999983E-2</v>
      </c>
      <c r="E9" s="47">
        <v>2.6679999999999999E-2</v>
      </c>
      <c r="F9" s="20">
        <v>2.2039999999999997E-2</v>
      </c>
      <c r="G9" s="20">
        <v>0.20879999999999999</v>
      </c>
      <c r="H9" s="20">
        <v>0.14384</v>
      </c>
      <c r="I9" s="20">
        <v>0.11947999999999999</v>
      </c>
      <c r="J9" s="20">
        <v>0.51156000000000001</v>
      </c>
      <c r="K9" s="20">
        <v>0.37351999999999996</v>
      </c>
      <c r="L9" s="20">
        <v>0.33059999999999995</v>
      </c>
    </row>
    <row r="10" spans="1:12" x14ac:dyDescent="0.4">
      <c r="A10" s="21">
        <v>17</v>
      </c>
      <c r="B10" s="19">
        <v>0.1148</v>
      </c>
      <c r="C10" s="19">
        <v>7.9799999999999996E-2</v>
      </c>
      <c r="D10" s="20">
        <v>8.3519999999999983E-2</v>
      </c>
      <c r="E10" s="47">
        <v>2.6679999999999999E-2</v>
      </c>
      <c r="F10" s="20">
        <v>2.2039999999999997E-2</v>
      </c>
      <c r="G10" s="20">
        <v>0.20879999999999999</v>
      </c>
      <c r="H10" s="20">
        <v>0.14384</v>
      </c>
      <c r="I10" s="20">
        <v>0.11947999999999999</v>
      </c>
      <c r="J10" s="20">
        <v>0.51156000000000001</v>
      </c>
      <c r="K10" s="20">
        <v>0.37351999999999996</v>
      </c>
      <c r="L10" s="20">
        <v>0.33059999999999995</v>
      </c>
    </row>
    <row r="11" spans="1:12" x14ac:dyDescent="0.4">
      <c r="A11" s="21">
        <v>18</v>
      </c>
      <c r="B11" s="19">
        <v>0.1148</v>
      </c>
      <c r="C11" s="19">
        <v>7.9799999999999996E-2</v>
      </c>
      <c r="D11" s="20">
        <v>8.3519999999999983E-2</v>
      </c>
      <c r="E11" s="47">
        <v>2.6679999999999999E-2</v>
      </c>
      <c r="F11" s="20">
        <v>2.2039999999999997E-2</v>
      </c>
      <c r="G11" s="20">
        <v>0.20763999999999996</v>
      </c>
      <c r="H11" s="20">
        <v>0.14384</v>
      </c>
      <c r="I11" s="20">
        <v>0.11947999999999999</v>
      </c>
      <c r="J11" s="20">
        <v>0.51156000000000001</v>
      </c>
      <c r="K11" s="20">
        <v>0.37351999999999996</v>
      </c>
      <c r="L11" s="20">
        <v>0.33059999999999995</v>
      </c>
    </row>
    <row r="12" spans="1:12" x14ac:dyDescent="0.4">
      <c r="A12" s="21">
        <v>19</v>
      </c>
      <c r="B12" s="19">
        <v>0.1162</v>
      </c>
      <c r="C12" s="19">
        <v>7.9799999999999996E-2</v>
      </c>
      <c r="D12" s="20">
        <v>8.3519999999999983E-2</v>
      </c>
      <c r="E12" s="47">
        <v>2.6679999999999999E-2</v>
      </c>
      <c r="F12" s="20">
        <v>2.2039999999999997E-2</v>
      </c>
      <c r="G12" s="20">
        <v>0.20763999999999996</v>
      </c>
      <c r="H12" s="20">
        <v>0.14384</v>
      </c>
      <c r="I12" s="20">
        <v>0.11947999999999999</v>
      </c>
      <c r="J12" s="20">
        <v>0.51156000000000001</v>
      </c>
      <c r="K12" s="20">
        <v>0.37351999999999996</v>
      </c>
      <c r="L12" s="20">
        <v>0.33059999999999995</v>
      </c>
    </row>
    <row r="13" spans="1:12" x14ac:dyDescent="0.4">
      <c r="A13" s="21">
        <v>20</v>
      </c>
      <c r="B13" s="19">
        <v>0.1162</v>
      </c>
      <c r="C13" s="19">
        <v>7.9799999999999996E-2</v>
      </c>
      <c r="D13" s="20">
        <v>8.3519999999999983E-2</v>
      </c>
      <c r="E13" s="47">
        <v>2.6679999999999999E-2</v>
      </c>
      <c r="F13" s="20">
        <v>2.2039999999999997E-2</v>
      </c>
      <c r="G13" s="20">
        <v>0.20763999999999996</v>
      </c>
      <c r="H13" s="20">
        <v>0.14384</v>
      </c>
      <c r="I13" s="20">
        <v>0.11947999999999999</v>
      </c>
      <c r="J13" s="20">
        <v>0.51156000000000001</v>
      </c>
      <c r="K13" s="20">
        <v>0.37351999999999996</v>
      </c>
      <c r="L13" s="20">
        <v>0.33059999999999995</v>
      </c>
    </row>
    <row r="14" spans="1:12" x14ac:dyDescent="0.4">
      <c r="A14" s="21">
        <v>21</v>
      </c>
      <c r="B14" s="19">
        <v>0.1176</v>
      </c>
      <c r="C14" s="19">
        <v>8.1199999999999994E-2</v>
      </c>
      <c r="D14" s="20">
        <v>8.3519999999999983E-2</v>
      </c>
      <c r="E14" s="47">
        <v>3.1320000000000001E-2</v>
      </c>
      <c r="F14" s="20">
        <v>2.6679999999999999E-2</v>
      </c>
      <c r="G14" s="20">
        <v>0.21111999999999997</v>
      </c>
      <c r="H14" s="20">
        <v>0.14615999999999998</v>
      </c>
      <c r="I14" s="20">
        <v>0.12063999999999998</v>
      </c>
      <c r="J14" s="20">
        <v>0.52432000000000001</v>
      </c>
      <c r="K14" s="20">
        <v>0.38279999999999997</v>
      </c>
      <c r="L14" s="20">
        <v>0.33871999999999997</v>
      </c>
    </row>
    <row r="15" spans="1:12" x14ac:dyDescent="0.4">
      <c r="A15" s="21">
        <v>22</v>
      </c>
      <c r="B15" s="19">
        <v>0.11899999999999999</v>
      </c>
      <c r="C15" s="19">
        <v>8.1199999999999994E-2</v>
      </c>
      <c r="D15" s="20">
        <v>8.4679999999999991E-2</v>
      </c>
      <c r="E15" s="47">
        <v>3.5959999999999999E-2</v>
      </c>
      <c r="F15" s="20">
        <v>2.8999999999999998E-2</v>
      </c>
      <c r="G15" s="20">
        <v>0.21459999999999999</v>
      </c>
      <c r="H15" s="20">
        <v>0.14848</v>
      </c>
      <c r="I15" s="20">
        <v>0.12295999999999999</v>
      </c>
      <c r="J15" s="20">
        <v>0.53939999999999999</v>
      </c>
      <c r="K15" s="20">
        <v>0.39323999999999998</v>
      </c>
      <c r="L15" s="20">
        <v>0.34799999999999998</v>
      </c>
    </row>
    <row r="16" spans="1:12" x14ac:dyDescent="0.4">
      <c r="A16" s="21">
        <v>23</v>
      </c>
      <c r="B16" s="19">
        <v>0.12039999999999998</v>
      </c>
      <c r="C16" s="19">
        <v>8.1199999999999994E-2</v>
      </c>
      <c r="D16" s="20">
        <v>8.6999999999999994E-2</v>
      </c>
      <c r="E16" s="47">
        <v>3.9440000000000003E-2</v>
      </c>
      <c r="F16" s="20">
        <v>3.3639999999999996E-2</v>
      </c>
      <c r="G16" s="20">
        <v>0.21923999999999999</v>
      </c>
      <c r="H16" s="20">
        <v>0.15079999999999999</v>
      </c>
      <c r="I16" s="20">
        <v>0.12528</v>
      </c>
      <c r="J16" s="20">
        <v>0.55331999999999992</v>
      </c>
      <c r="K16" s="20">
        <v>0.40251999999999993</v>
      </c>
      <c r="L16" s="20">
        <v>0.35727999999999999</v>
      </c>
    </row>
    <row r="17" spans="1:12" x14ac:dyDescent="0.4">
      <c r="A17" s="21">
        <v>24</v>
      </c>
      <c r="B17" s="19">
        <v>0.12319999999999999</v>
      </c>
      <c r="C17" s="19">
        <v>8.2599999999999993E-2</v>
      </c>
      <c r="D17" s="20">
        <v>8.9319999999999997E-2</v>
      </c>
      <c r="E17" s="47">
        <v>4.5239999999999995E-2</v>
      </c>
      <c r="F17" s="20">
        <v>3.8280000000000002E-2</v>
      </c>
      <c r="G17" s="20">
        <v>0.22272</v>
      </c>
      <c r="H17" s="20">
        <v>0.15312000000000001</v>
      </c>
      <c r="I17" s="20">
        <v>0.12759999999999999</v>
      </c>
      <c r="J17" s="20">
        <v>0.56723999999999997</v>
      </c>
      <c r="K17" s="20">
        <v>0.41295999999999994</v>
      </c>
      <c r="L17" s="20">
        <v>0.3654</v>
      </c>
    </row>
    <row r="18" spans="1:12" x14ac:dyDescent="0.4">
      <c r="A18" s="21">
        <v>25</v>
      </c>
      <c r="B18" s="19">
        <v>0.126</v>
      </c>
      <c r="C18" s="19">
        <v>7.4199999999999988E-2</v>
      </c>
      <c r="D18" s="20">
        <v>9.2799999999999994E-2</v>
      </c>
      <c r="E18" s="47">
        <v>4.8719999999999999E-2</v>
      </c>
      <c r="F18" s="20">
        <v>4.6399999999999997E-2</v>
      </c>
      <c r="G18" s="20">
        <v>0.22852</v>
      </c>
      <c r="H18" s="20">
        <v>0.15776000000000001</v>
      </c>
      <c r="I18" s="20">
        <v>0.13108</v>
      </c>
      <c r="J18" s="20">
        <v>0.58579999999999999</v>
      </c>
      <c r="K18" s="20">
        <v>0.42687999999999998</v>
      </c>
      <c r="L18" s="20">
        <v>0.37816</v>
      </c>
    </row>
    <row r="19" spans="1:12" x14ac:dyDescent="0.4">
      <c r="A19" s="21">
        <v>26</v>
      </c>
      <c r="B19" s="19">
        <v>0.1288</v>
      </c>
      <c r="C19" s="19">
        <v>7.8399999999999997E-2</v>
      </c>
      <c r="D19" s="20">
        <v>9.6280000000000004E-2</v>
      </c>
      <c r="E19" s="47">
        <v>5.4519999999999999E-2</v>
      </c>
      <c r="F19" s="20">
        <v>4.6399999999999997E-2</v>
      </c>
      <c r="G19" s="20">
        <v>0.23083999999999999</v>
      </c>
      <c r="H19" s="20">
        <v>0.15892000000000001</v>
      </c>
      <c r="I19" s="20">
        <v>0.13224</v>
      </c>
      <c r="J19" s="20">
        <v>0.59739999999999993</v>
      </c>
      <c r="K19" s="20">
        <v>0.43383999999999995</v>
      </c>
      <c r="L19" s="20">
        <v>0.38395999999999997</v>
      </c>
    </row>
    <row r="20" spans="1:12" x14ac:dyDescent="0.4">
      <c r="A20" s="21">
        <v>27</v>
      </c>
      <c r="B20" s="19">
        <v>0.13299999999999998</v>
      </c>
      <c r="C20" s="19">
        <v>8.2599999999999993E-2</v>
      </c>
      <c r="D20" s="20">
        <v>0.10091999999999998</v>
      </c>
      <c r="E20" s="47">
        <v>5.915999999999999E-2</v>
      </c>
      <c r="F20" s="20">
        <v>5.1039999999999995E-2</v>
      </c>
      <c r="G20" s="20">
        <v>0.23432</v>
      </c>
      <c r="H20" s="20">
        <v>0.16123999999999999</v>
      </c>
      <c r="I20" s="20">
        <v>0.13339999999999999</v>
      </c>
      <c r="J20" s="20">
        <v>0.61016000000000004</v>
      </c>
      <c r="K20" s="20">
        <v>0.44079999999999997</v>
      </c>
      <c r="L20" s="20">
        <v>0.39091999999999999</v>
      </c>
    </row>
    <row r="21" spans="1:12" x14ac:dyDescent="0.4">
      <c r="A21" s="21">
        <v>28</v>
      </c>
      <c r="B21" s="19">
        <v>0.13719999999999999</v>
      </c>
      <c r="C21" s="19">
        <v>8.8200000000000001E-2</v>
      </c>
      <c r="D21" s="20">
        <v>0.10555999999999999</v>
      </c>
      <c r="E21" s="47">
        <v>6.495999999999999E-2</v>
      </c>
      <c r="F21" s="20">
        <v>5.568E-2</v>
      </c>
      <c r="G21" s="20">
        <v>0.23895999999999998</v>
      </c>
      <c r="H21" s="20">
        <v>0.16355999999999998</v>
      </c>
      <c r="I21" s="20">
        <v>0.13572000000000001</v>
      </c>
      <c r="J21" s="20">
        <v>0.62639999999999996</v>
      </c>
      <c r="K21" s="20">
        <v>0.44891999999999999</v>
      </c>
      <c r="L21" s="20">
        <v>0.39903999999999995</v>
      </c>
    </row>
    <row r="22" spans="1:12" x14ac:dyDescent="0.4">
      <c r="A22" s="21">
        <v>29</v>
      </c>
      <c r="B22" s="19">
        <v>0.14279999999999998</v>
      </c>
      <c r="C22" s="19">
        <v>9.8000000000000004E-2</v>
      </c>
      <c r="D22" s="20">
        <v>0.11019999999999999</v>
      </c>
      <c r="E22" s="47">
        <v>7.075999999999999E-2</v>
      </c>
      <c r="F22" s="20">
        <v>6.0319999999999992E-2</v>
      </c>
      <c r="G22" s="20">
        <v>0.24359999999999998</v>
      </c>
      <c r="H22" s="20">
        <v>0.16703999999999997</v>
      </c>
      <c r="I22" s="20">
        <v>0.13804</v>
      </c>
      <c r="J22" s="20">
        <v>0.64380000000000004</v>
      </c>
      <c r="K22" s="20">
        <v>0.4582</v>
      </c>
      <c r="L22" s="20">
        <v>0.40715999999999997</v>
      </c>
    </row>
    <row r="23" spans="1:12" x14ac:dyDescent="0.4">
      <c r="A23" s="21">
        <v>30</v>
      </c>
      <c r="B23" s="19">
        <v>0.14699999999999999</v>
      </c>
      <c r="C23" s="19">
        <v>0.10639999999999999</v>
      </c>
      <c r="D23" s="20">
        <v>0.11599999999999999</v>
      </c>
      <c r="E23" s="47">
        <v>8.004E-2</v>
      </c>
      <c r="F23" s="20">
        <v>6.495999999999999E-2</v>
      </c>
      <c r="G23" s="20">
        <v>0.25056</v>
      </c>
      <c r="H23" s="20">
        <v>0.17051999999999998</v>
      </c>
      <c r="I23" s="20">
        <v>0.14151999999999998</v>
      </c>
      <c r="J23" s="20">
        <v>0.66351999999999989</v>
      </c>
      <c r="K23" s="20">
        <v>0.4698</v>
      </c>
      <c r="L23" s="20">
        <v>0.41643999999999998</v>
      </c>
    </row>
    <row r="24" spans="1:12" x14ac:dyDescent="0.4">
      <c r="A24" s="21">
        <v>31</v>
      </c>
      <c r="B24" s="19">
        <v>0.15259999999999999</v>
      </c>
      <c r="C24" s="19">
        <v>0.1162</v>
      </c>
      <c r="D24" s="20">
        <v>0.12179999999999999</v>
      </c>
      <c r="E24" s="47">
        <v>8.6999999999999994E-2</v>
      </c>
      <c r="F24" s="20">
        <v>7.1919999999999998E-2</v>
      </c>
      <c r="G24" s="20">
        <v>0.25983999999999996</v>
      </c>
      <c r="H24" s="20">
        <v>0.17515999999999998</v>
      </c>
      <c r="I24" s="20">
        <v>0.14499999999999999</v>
      </c>
      <c r="J24" s="20">
        <v>0.69019999999999992</v>
      </c>
      <c r="K24" s="20">
        <v>0.48487999999999992</v>
      </c>
      <c r="L24" s="20">
        <v>0.43035999999999996</v>
      </c>
    </row>
    <row r="25" spans="1:12" x14ac:dyDescent="0.4">
      <c r="A25" s="21">
        <v>32</v>
      </c>
      <c r="B25" s="19">
        <v>0.15959999999999999</v>
      </c>
      <c r="C25" s="19">
        <v>0.13019999999999998</v>
      </c>
      <c r="D25" s="20">
        <v>0.12759999999999999</v>
      </c>
      <c r="E25" s="47">
        <v>9.6280000000000004E-2</v>
      </c>
      <c r="F25" s="20">
        <v>8.004E-2</v>
      </c>
      <c r="G25" s="20">
        <v>0.26911999999999997</v>
      </c>
      <c r="H25" s="20">
        <v>0.18095999999999998</v>
      </c>
      <c r="I25" s="20">
        <v>0.14964</v>
      </c>
      <c r="J25" s="20">
        <v>0.71919999999999995</v>
      </c>
      <c r="K25" s="20">
        <v>0.50227999999999995</v>
      </c>
      <c r="L25" s="20">
        <v>0.44544</v>
      </c>
    </row>
    <row r="26" spans="1:12" x14ac:dyDescent="0.4">
      <c r="A26" s="21">
        <v>33</v>
      </c>
      <c r="B26" s="19">
        <v>0.16659999999999997</v>
      </c>
      <c r="C26" s="19">
        <v>0.14419999999999999</v>
      </c>
      <c r="D26" s="20">
        <v>0.13572000000000001</v>
      </c>
      <c r="E26" s="47">
        <v>0.10439999999999999</v>
      </c>
      <c r="F26" s="20">
        <v>8.6999999999999994E-2</v>
      </c>
      <c r="G26" s="20">
        <v>0.28071999999999997</v>
      </c>
      <c r="H26" s="20">
        <v>0.18792</v>
      </c>
      <c r="I26" s="20">
        <v>0.15543999999999999</v>
      </c>
      <c r="J26" s="20">
        <v>0.75168000000000001</v>
      </c>
      <c r="K26" s="20">
        <v>0.52315999999999996</v>
      </c>
      <c r="L26" s="20">
        <v>0.46283999999999997</v>
      </c>
    </row>
    <row r="27" spans="1:12" x14ac:dyDescent="0.4">
      <c r="A27" s="21">
        <v>34</v>
      </c>
      <c r="B27" s="19">
        <v>0.17359999999999998</v>
      </c>
      <c r="C27" s="19">
        <v>0.161</v>
      </c>
      <c r="D27" s="20">
        <v>0.14268</v>
      </c>
      <c r="E27" s="47">
        <v>0.11368</v>
      </c>
      <c r="F27" s="20">
        <v>9.6280000000000004E-2</v>
      </c>
      <c r="G27" s="20">
        <v>0.29463999999999996</v>
      </c>
      <c r="H27" s="20">
        <v>0.19720000000000001</v>
      </c>
      <c r="I27" s="20">
        <v>0.16355999999999998</v>
      </c>
      <c r="J27" s="20">
        <v>0.79112000000000005</v>
      </c>
      <c r="K27" s="20">
        <v>0.54867999999999995</v>
      </c>
      <c r="L27" s="20">
        <v>0.48603999999999997</v>
      </c>
    </row>
    <row r="28" spans="1:12" x14ac:dyDescent="0.4">
      <c r="A28" s="21">
        <v>35</v>
      </c>
      <c r="B28" s="19">
        <v>0.18340000000000001</v>
      </c>
      <c r="C28" s="19">
        <v>0.17779999999999999</v>
      </c>
      <c r="D28" s="20">
        <v>0.15079999999999999</v>
      </c>
      <c r="E28" s="47">
        <v>0.12295999999999999</v>
      </c>
      <c r="F28" s="20">
        <v>0.10439999999999999</v>
      </c>
      <c r="G28" s="20">
        <v>0.30972</v>
      </c>
      <c r="H28" s="20">
        <v>0.20647999999999997</v>
      </c>
      <c r="I28" s="20">
        <v>0.17167999999999997</v>
      </c>
      <c r="J28" s="20">
        <v>0.83287999999999995</v>
      </c>
      <c r="K28" s="20">
        <v>0.57651999999999992</v>
      </c>
      <c r="L28" s="20">
        <v>0.51156000000000001</v>
      </c>
    </row>
    <row r="29" spans="1:12" x14ac:dyDescent="0.4">
      <c r="A29" s="21">
        <v>36</v>
      </c>
      <c r="B29" s="19">
        <v>0.19320000000000001</v>
      </c>
      <c r="C29" s="19">
        <v>0.19879999999999998</v>
      </c>
      <c r="D29" s="20">
        <v>0.16008</v>
      </c>
      <c r="E29" s="47">
        <v>0.13224</v>
      </c>
      <c r="F29" s="20">
        <v>0.11136</v>
      </c>
      <c r="G29" s="20">
        <v>0.32596000000000003</v>
      </c>
      <c r="H29" s="20">
        <v>0.21808</v>
      </c>
      <c r="I29" s="20">
        <v>0.18095999999999998</v>
      </c>
      <c r="J29" s="20">
        <v>0.87695999999999996</v>
      </c>
      <c r="K29" s="20">
        <v>0.60783999999999994</v>
      </c>
      <c r="L29" s="20">
        <v>0.53823999999999994</v>
      </c>
    </row>
    <row r="30" spans="1:12" x14ac:dyDescent="0.4">
      <c r="A30" s="21">
        <v>37</v>
      </c>
      <c r="B30" s="19">
        <v>0.20439999999999997</v>
      </c>
      <c r="C30" s="19">
        <v>0.2198</v>
      </c>
      <c r="D30" s="20">
        <v>0.16935999999999998</v>
      </c>
      <c r="E30" s="47">
        <v>0.14151999999999998</v>
      </c>
      <c r="F30" s="20">
        <v>0.11831999999999998</v>
      </c>
      <c r="G30" s="20">
        <v>0.34451999999999994</v>
      </c>
      <c r="H30" s="20">
        <v>0.23199999999999998</v>
      </c>
      <c r="I30" s="20">
        <v>0.19256000000000001</v>
      </c>
      <c r="J30" s="20">
        <v>0.92335999999999996</v>
      </c>
      <c r="K30" s="20">
        <v>0.64263999999999999</v>
      </c>
      <c r="L30" s="20">
        <v>0.56955999999999996</v>
      </c>
    </row>
    <row r="31" spans="1:12" x14ac:dyDescent="0.4">
      <c r="A31" s="21">
        <v>38</v>
      </c>
      <c r="B31" s="19">
        <v>0.217</v>
      </c>
      <c r="C31" s="19">
        <v>0.24359999999999996</v>
      </c>
      <c r="D31" s="20">
        <v>0.17979999999999999</v>
      </c>
      <c r="E31" s="47">
        <v>0.15195999999999998</v>
      </c>
      <c r="F31" s="20">
        <v>0.12528</v>
      </c>
      <c r="G31" s="20">
        <v>0.3654</v>
      </c>
      <c r="H31" s="20">
        <v>0.24707999999999997</v>
      </c>
      <c r="I31" s="20">
        <v>0.20531999999999997</v>
      </c>
      <c r="J31" s="20">
        <v>0.97323999999999988</v>
      </c>
      <c r="K31" s="20">
        <v>0.67975999999999992</v>
      </c>
      <c r="L31" s="20">
        <v>0.60319999999999996</v>
      </c>
    </row>
    <row r="32" spans="1:12" x14ac:dyDescent="0.4">
      <c r="A32" s="21">
        <v>39</v>
      </c>
      <c r="B32" s="19">
        <v>0.2296</v>
      </c>
      <c r="C32" s="19">
        <v>0.27160000000000001</v>
      </c>
      <c r="D32" s="20">
        <v>0.19139999999999999</v>
      </c>
      <c r="E32" s="47">
        <v>0.16240000000000002</v>
      </c>
      <c r="F32" s="20">
        <v>0.13572000000000001</v>
      </c>
      <c r="G32" s="20">
        <v>0.3886</v>
      </c>
      <c r="H32" s="20">
        <v>0.26447999999999999</v>
      </c>
      <c r="I32" s="20">
        <v>0.22039999999999998</v>
      </c>
      <c r="J32" s="20">
        <v>1.0254399999999999</v>
      </c>
      <c r="K32" s="20">
        <v>0.72036</v>
      </c>
      <c r="L32" s="20">
        <v>0.63916000000000006</v>
      </c>
    </row>
    <row r="33" spans="1:12" x14ac:dyDescent="0.4">
      <c r="A33" s="21">
        <v>40</v>
      </c>
      <c r="B33" s="19">
        <v>0.24639999999999998</v>
      </c>
      <c r="C33" s="19">
        <v>0.30099999999999999</v>
      </c>
      <c r="D33" s="20">
        <v>0.20299999999999999</v>
      </c>
      <c r="E33" s="47">
        <v>0.17515999999999998</v>
      </c>
      <c r="F33" s="20">
        <v>0.14499999999999999</v>
      </c>
      <c r="G33" s="20">
        <v>0.41295999999999994</v>
      </c>
      <c r="H33" s="20">
        <v>0.28536</v>
      </c>
      <c r="I33" s="20">
        <v>0.23663999999999996</v>
      </c>
      <c r="J33" s="20">
        <v>1.07996</v>
      </c>
      <c r="K33" s="20">
        <v>0.76559999999999995</v>
      </c>
      <c r="L33" s="20">
        <v>0.67859999999999987</v>
      </c>
    </row>
    <row r="34" spans="1:12" x14ac:dyDescent="0.4">
      <c r="A34" s="21">
        <v>41</v>
      </c>
      <c r="B34" s="19">
        <v>0.26179999999999998</v>
      </c>
      <c r="C34" s="19">
        <v>0.33459999999999995</v>
      </c>
      <c r="D34" s="20">
        <v>0.21691999999999997</v>
      </c>
      <c r="E34" s="47">
        <v>0.18675999999999998</v>
      </c>
      <c r="F34" s="20">
        <v>0.15659999999999999</v>
      </c>
      <c r="G34" s="20">
        <v>0.44079999999999997</v>
      </c>
      <c r="H34" s="20">
        <v>0.30740000000000001</v>
      </c>
      <c r="I34" s="20">
        <v>0.25519999999999998</v>
      </c>
      <c r="J34" s="20">
        <v>1.1367999999999998</v>
      </c>
      <c r="K34" s="20">
        <v>0.81431999999999993</v>
      </c>
      <c r="L34" s="20">
        <v>0.72151999999999994</v>
      </c>
    </row>
    <row r="35" spans="1:12" x14ac:dyDescent="0.4">
      <c r="A35" s="21">
        <v>42</v>
      </c>
      <c r="B35" s="19">
        <v>0.27999999999999997</v>
      </c>
      <c r="C35" s="19">
        <v>0.371</v>
      </c>
      <c r="D35" s="20">
        <v>0.23083999999999999</v>
      </c>
      <c r="E35" s="47">
        <v>0.20067999999999997</v>
      </c>
      <c r="F35" s="20">
        <v>0.16703999999999997</v>
      </c>
      <c r="G35" s="20">
        <v>0.47095999999999999</v>
      </c>
      <c r="H35" s="20">
        <v>0.33291999999999994</v>
      </c>
      <c r="I35" s="20">
        <v>0.27607999999999999</v>
      </c>
      <c r="J35" s="20">
        <v>1.19712</v>
      </c>
      <c r="K35" s="20">
        <v>0.86535999999999991</v>
      </c>
      <c r="L35" s="20">
        <v>0.76791999999999994</v>
      </c>
    </row>
    <row r="36" spans="1:12" x14ac:dyDescent="0.4">
      <c r="A36" s="21">
        <v>43</v>
      </c>
      <c r="B36" s="19">
        <v>0.30099999999999999</v>
      </c>
      <c r="C36" s="19">
        <v>0.41299999999999998</v>
      </c>
      <c r="D36" s="20">
        <v>0.24591999999999997</v>
      </c>
      <c r="E36" s="47">
        <v>0.21575999999999998</v>
      </c>
      <c r="F36" s="20">
        <v>0.17863999999999999</v>
      </c>
      <c r="G36" s="20">
        <v>0.50459999999999994</v>
      </c>
      <c r="H36" s="20">
        <v>0.36075999999999997</v>
      </c>
      <c r="I36" s="20">
        <v>0.29927999999999999</v>
      </c>
      <c r="J36" s="20">
        <v>1.2574399999999999</v>
      </c>
      <c r="K36" s="20">
        <v>0.91988000000000003</v>
      </c>
      <c r="L36" s="20">
        <v>0.81547999999999987</v>
      </c>
    </row>
    <row r="37" spans="1:12" x14ac:dyDescent="0.4">
      <c r="A37" s="21">
        <v>44</v>
      </c>
      <c r="B37" s="19">
        <v>0.32619999999999999</v>
      </c>
      <c r="C37" s="19">
        <v>0.4592</v>
      </c>
      <c r="D37" s="20">
        <v>0.26216</v>
      </c>
      <c r="E37" s="47">
        <v>0.22968</v>
      </c>
      <c r="F37" s="20">
        <v>0.19372</v>
      </c>
      <c r="G37" s="20">
        <v>0.54171999999999998</v>
      </c>
      <c r="H37" s="20">
        <v>0.39323999999999998</v>
      </c>
      <c r="I37" s="20">
        <v>0.32596000000000003</v>
      </c>
      <c r="J37" s="20">
        <v>1.32124</v>
      </c>
      <c r="K37" s="20">
        <v>0.97787999999999986</v>
      </c>
      <c r="L37" s="20">
        <v>0.86651999999999996</v>
      </c>
    </row>
    <row r="38" spans="1:12" x14ac:dyDescent="0.4">
      <c r="A38" s="21">
        <v>45</v>
      </c>
      <c r="B38" s="19">
        <v>0.35139999999999999</v>
      </c>
      <c r="C38" s="19">
        <v>0.50819999999999999</v>
      </c>
      <c r="D38" s="20">
        <v>0.27955999999999998</v>
      </c>
      <c r="E38" s="47">
        <v>0.24591999999999997</v>
      </c>
      <c r="F38" s="20">
        <v>0.20531999999999997</v>
      </c>
      <c r="G38" s="20">
        <v>0.58116000000000001</v>
      </c>
      <c r="H38" s="20">
        <v>0.42803999999999998</v>
      </c>
      <c r="I38" s="20">
        <v>0.35495999999999994</v>
      </c>
      <c r="J38" s="20">
        <v>1.3850399999999998</v>
      </c>
      <c r="K38" s="20">
        <v>1.0393599999999998</v>
      </c>
      <c r="L38" s="20">
        <v>0.92103999999999997</v>
      </c>
    </row>
    <row r="39" spans="1:12" x14ac:dyDescent="0.4">
      <c r="A39" s="21">
        <v>46</v>
      </c>
      <c r="B39" s="19">
        <v>0.37940000000000002</v>
      </c>
      <c r="C39" s="19">
        <v>0.56559999999999999</v>
      </c>
      <c r="D39" s="20">
        <v>0.29927999999999999</v>
      </c>
      <c r="E39" s="47">
        <v>0.26447999999999999</v>
      </c>
      <c r="F39" s="20">
        <v>0.21923999999999999</v>
      </c>
      <c r="G39" s="20">
        <v>0.62639999999999996</v>
      </c>
      <c r="H39" s="20">
        <v>0.46748000000000001</v>
      </c>
      <c r="I39" s="20">
        <v>0.38744000000000001</v>
      </c>
      <c r="J39" s="20">
        <v>1.4511599999999998</v>
      </c>
      <c r="K39" s="20">
        <v>1.1008399999999998</v>
      </c>
      <c r="L39" s="20">
        <v>0.97555999999999987</v>
      </c>
    </row>
    <row r="40" spans="1:12" x14ac:dyDescent="0.4">
      <c r="A40" s="21">
        <v>47</v>
      </c>
      <c r="B40" s="19">
        <v>0.41299999999999998</v>
      </c>
      <c r="C40" s="19">
        <v>0.62859999999999994</v>
      </c>
      <c r="D40" s="20">
        <v>0.32016</v>
      </c>
      <c r="E40" s="47">
        <v>0.28187999999999996</v>
      </c>
      <c r="F40" s="20">
        <v>0.23432</v>
      </c>
      <c r="G40" s="20">
        <v>0.67511999999999994</v>
      </c>
      <c r="H40" s="20">
        <v>0.51039999999999996</v>
      </c>
      <c r="I40" s="20">
        <v>0.42339999999999994</v>
      </c>
      <c r="J40" s="20">
        <v>1.51728</v>
      </c>
      <c r="K40" s="20">
        <v>1.1646399999999999</v>
      </c>
      <c r="L40" s="20">
        <v>1.0324</v>
      </c>
    </row>
    <row r="41" spans="1:12" x14ac:dyDescent="0.4">
      <c r="A41" s="21">
        <v>48</v>
      </c>
      <c r="B41" s="19">
        <v>0.44939999999999997</v>
      </c>
      <c r="C41" s="19">
        <v>0.69719999999999993</v>
      </c>
      <c r="D41" s="20">
        <v>0.34219999999999995</v>
      </c>
      <c r="E41" s="47">
        <v>0.30043999999999998</v>
      </c>
      <c r="F41" s="20">
        <v>0.25172</v>
      </c>
      <c r="G41" s="20">
        <v>0.72847999999999991</v>
      </c>
      <c r="H41" s="20">
        <v>0.5579599999999999</v>
      </c>
      <c r="I41" s="20">
        <v>0.46283999999999997</v>
      </c>
      <c r="J41" s="20">
        <v>1.5822400000000001</v>
      </c>
      <c r="K41" s="20">
        <v>1.2296</v>
      </c>
      <c r="L41" s="20">
        <v>1.0892399999999998</v>
      </c>
    </row>
    <row r="42" spans="1:12" x14ac:dyDescent="0.4">
      <c r="A42" s="21">
        <v>49</v>
      </c>
      <c r="B42" s="19">
        <v>0.49139999999999995</v>
      </c>
      <c r="C42" s="19">
        <v>0.77560000000000007</v>
      </c>
      <c r="D42" s="20">
        <v>0.36656</v>
      </c>
      <c r="E42" s="47">
        <v>0.32247999999999999</v>
      </c>
      <c r="F42" s="20">
        <v>0.26795999999999998</v>
      </c>
      <c r="G42" s="20">
        <v>0.78647999999999996</v>
      </c>
      <c r="H42" s="20">
        <v>0.61016000000000004</v>
      </c>
      <c r="I42" s="20">
        <v>0.50691999999999993</v>
      </c>
      <c r="J42" s="20">
        <v>1.6460399999999999</v>
      </c>
      <c r="K42" s="20">
        <v>1.2922400000000001</v>
      </c>
      <c r="L42" s="20">
        <v>1.1449199999999999</v>
      </c>
    </row>
    <row r="43" spans="1:12" x14ac:dyDescent="0.4">
      <c r="A43" s="21">
        <v>50</v>
      </c>
      <c r="B43" s="19">
        <v>0.53759999999999997</v>
      </c>
      <c r="C43" s="19">
        <v>0.86239999999999994</v>
      </c>
      <c r="D43" s="20">
        <v>0.39323999999999998</v>
      </c>
      <c r="E43" s="47">
        <v>0.34335999999999994</v>
      </c>
      <c r="F43" s="20">
        <v>0.31668000000000002</v>
      </c>
      <c r="G43" s="20">
        <v>0.85143999999999997</v>
      </c>
      <c r="H43" s="20">
        <v>0.66815999999999987</v>
      </c>
      <c r="I43" s="20">
        <v>0.55447999999999997</v>
      </c>
      <c r="J43" s="20">
        <v>1.7063599999999999</v>
      </c>
      <c r="K43" s="20">
        <v>1.3525599999999998</v>
      </c>
      <c r="L43" s="20">
        <v>1.1994400000000001</v>
      </c>
    </row>
    <row r="44" spans="1:12" x14ac:dyDescent="0.4">
      <c r="A44" s="21">
        <v>51</v>
      </c>
      <c r="B44" s="19">
        <v>0.58939999999999992</v>
      </c>
      <c r="C44" s="19">
        <v>0.95620000000000005</v>
      </c>
      <c r="D44" s="20">
        <v>0.42107999999999995</v>
      </c>
      <c r="E44" s="47">
        <v>0.36771999999999999</v>
      </c>
      <c r="F44" s="20">
        <v>0.32363999999999998</v>
      </c>
      <c r="G44" s="20">
        <v>0.92103999999999997</v>
      </c>
      <c r="H44" s="20">
        <v>0.73080000000000001</v>
      </c>
      <c r="I44" s="20">
        <v>0.60668</v>
      </c>
      <c r="J44" s="20">
        <v>1.7631999999999999</v>
      </c>
      <c r="K44" s="20">
        <v>1.4094</v>
      </c>
      <c r="L44" s="20">
        <v>1.2493199999999998</v>
      </c>
    </row>
    <row r="45" spans="1:12" x14ac:dyDescent="0.4">
      <c r="A45" s="21">
        <v>52</v>
      </c>
      <c r="B45" s="19">
        <v>0.64959999999999996</v>
      </c>
      <c r="C45" s="19">
        <v>1.0626</v>
      </c>
      <c r="D45" s="20">
        <v>0.45239999999999997</v>
      </c>
      <c r="E45" s="47">
        <v>0.39323999999999998</v>
      </c>
      <c r="F45" s="20">
        <v>0.33059999999999995</v>
      </c>
      <c r="G45" s="20">
        <v>0.99759999999999993</v>
      </c>
      <c r="H45" s="20">
        <v>0.7980799999999999</v>
      </c>
      <c r="I45" s="20">
        <v>0.66235999999999995</v>
      </c>
      <c r="J45" s="20">
        <v>1.8142399999999999</v>
      </c>
      <c r="K45" s="20">
        <v>1.4604399999999997</v>
      </c>
      <c r="L45" s="20">
        <v>1.2945599999999999</v>
      </c>
    </row>
    <row r="46" spans="1:12" x14ac:dyDescent="0.4">
      <c r="A46" s="21">
        <v>53</v>
      </c>
      <c r="B46" s="19">
        <v>0.71679999999999999</v>
      </c>
      <c r="C46" s="19">
        <v>1.19</v>
      </c>
      <c r="D46" s="20">
        <v>0.48487999999999992</v>
      </c>
      <c r="E46" s="47">
        <v>0.41991999999999996</v>
      </c>
      <c r="F46" s="20">
        <v>0.35031999999999996</v>
      </c>
      <c r="G46" s="20">
        <v>1.0811200000000001</v>
      </c>
      <c r="H46" s="20">
        <v>0.87115999999999993</v>
      </c>
      <c r="I46" s="20">
        <v>0.72267999999999999</v>
      </c>
      <c r="J46" s="20">
        <v>1.8571599999999999</v>
      </c>
      <c r="K46" s="20">
        <v>1.50336</v>
      </c>
      <c r="L46" s="20">
        <v>1.3316799999999998</v>
      </c>
    </row>
    <row r="47" spans="1:12" x14ac:dyDescent="0.4">
      <c r="A47" s="21">
        <v>54</v>
      </c>
      <c r="B47" s="19">
        <v>0.79379999999999984</v>
      </c>
      <c r="C47" s="19">
        <v>1.3439999999999999</v>
      </c>
      <c r="D47" s="20">
        <v>0.52083999999999997</v>
      </c>
      <c r="E47" s="47">
        <v>0.44891999999999999</v>
      </c>
      <c r="F47" s="20">
        <v>0.37467999999999996</v>
      </c>
      <c r="G47" s="20">
        <v>1.1727599999999998</v>
      </c>
      <c r="H47" s="20">
        <v>0.95119999999999982</v>
      </c>
      <c r="I47" s="20">
        <v>0.78880000000000006</v>
      </c>
      <c r="J47" s="20">
        <v>1.8896399999999998</v>
      </c>
      <c r="K47" s="20">
        <v>1.5346799999999998</v>
      </c>
      <c r="L47" s="20">
        <v>1.3606799999999999</v>
      </c>
    </row>
    <row r="48" spans="1:12" x14ac:dyDescent="0.4">
      <c r="A48" s="21">
        <v>55</v>
      </c>
      <c r="B48" s="19">
        <v>0.87919999999999998</v>
      </c>
      <c r="C48" s="19">
        <v>1.5301999999999998</v>
      </c>
      <c r="D48" s="20">
        <v>0.56027999999999989</v>
      </c>
      <c r="E48" s="47">
        <v>0.47907999999999995</v>
      </c>
      <c r="F48" s="20">
        <v>0.40135999999999994</v>
      </c>
      <c r="G48" s="20">
        <v>1.27136</v>
      </c>
      <c r="H48" s="20">
        <v>1.0358799999999999</v>
      </c>
      <c r="I48" s="20">
        <v>0.85955999999999988</v>
      </c>
      <c r="J48" s="20">
        <v>1.9081999999999999</v>
      </c>
      <c r="K48" s="20">
        <v>1.5544</v>
      </c>
      <c r="L48" s="20">
        <v>1.3780799999999997</v>
      </c>
    </row>
    <row r="49" spans="1:12" x14ac:dyDescent="0.4">
      <c r="A49" s="21">
        <v>56</v>
      </c>
      <c r="B49" s="19">
        <v>0.97719999999999985</v>
      </c>
      <c r="C49" s="19">
        <v>1.7541999999999998</v>
      </c>
      <c r="D49" s="20">
        <v>0.60204000000000002</v>
      </c>
      <c r="E49" s="47">
        <v>0.51039999999999996</v>
      </c>
      <c r="F49" s="20">
        <v>0.42455999999999994</v>
      </c>
      <c r="G49" s="20">
        <v>1.3803999999999998</v>
      </c>
      <c r="H49" s="20">
        <v>1.1275199999999999</v>
      </c>
      <c r="I49" s="20">
        <v>0.93611999999999995</v>
      </c>
      <c r="J49" s="20">
        <v>1.9116799999999998</v>
      </c>
      <c r="K49" s="20">
        <v>1.5578799999999999</v>
      </c>
      <c r="L49" s="20">
        <v>1.3803999999999998</v>
      </c>
    </row>
    <row r="50" spans="1:12" x14ac:dyDescent="0.4">
      <c r="A50" s="21">
        <v>57</v>
      </c>
      <c r="B50" s="19">
        <v>1.0906</v>
      </c>
      <c r="C50" s="19">
        <v>2.0118</v>
      </c>
      <c r="D50" s="20">
        <v>0.64727999999999997</v>
      </c>
      <c r="E50" s="47">
        <v>0.54519999999999991</v>
      </c>
      <c r="F50" s="20">
        <v>0.45355999999999996</v>
      </c>
      <c r="G50" s="20">
        <v>1.4987199999999998</v>
      </c>
      <c r="H50" s="20">
        <v>1.2272799999999999</v>
      </c>
      <c r="I50" s="20">
        <v>1.01732</v>
      </c>
      <c r="J50" s="20">
        <v>1.8954399999999998</v>
      </c>
      <c r="K50" s="20">
        <v>1.5416399999999999</v>
      </c>
      <c r="L50" s="20">
        <v>1.3664799999999999</v>
      </c>
    </row>
    <row r="51" spans="1:12" x14ac:dyDescent="0.4">
      <c r="A51" s="21">
        <v>58</v>
      </c>
      <c r="B51" s="19">
        <v>1.2193999999999998</v>
      </c>
      <c r="C51" s="19">
        <v>2.2931999999999997</v>
      </c>
      <c r="D51" s="20">
        <v>0.69599999999999995</v>
      </c>
      <c r="E51" s="47">
        <v>0.58116000000000001</v>
      </c>
      <c r="F51" s="20">
        <v>0.48487999999999992</v>
      </c>
      <c r="G51" s="20">
        <v>1.6332799999999998</v>
      </c>
      <c r="H51" s="20">
        <v>1.3363199999999997</v>
      </c>
      <c r="I51" s="20">
        <v>1.1089599999999999</v>
      </c>
      <c r="J51" s="20">
        <v>1.8594799999999998</v>
      </c>
      <c r="K51" s="20">
        <v>1.5068399999999997</v>
      </c>
      <c r="L51" s="20">
        <v>1.3351599999999999</v>
      </c>
    </row>
    <row r="52" spans="1:12" x14ac:dyDescent="0.4">
      <c r="A52" s="21">
        <v>59</v>
      </c>
      <c r="B52" s="19">
        <v>1.3677999999999999</v>
      </c>
      <c r="C52" s="19">
        <v>2.6459999999999999</v>
      </c>
      <c r="D52" s="20">
        <v>0.74935999999999992</v>
      </c>
      <c r="E52" s="47">
        <v>0.61943999999999999</v>
      </c>
      <c r="F52" s="20">
        <v>0.51735999999999993</v>
      </c>
      <c r="G52" s="20">
        <v>1.7794399999999999</v>
      </c>
      <c r="H52" s="20">
        <v>1.4534799999999999</v>
      </c>
      <c r="I52" s="20">
        <v>1.2063999999999999</v>
      </c>
      <c r="J52" s="20">
        <v>1.7945199999999999</v>
      </c>
      <c r="K52" s="20">
        <v>1.44536</v>
      </c>
      <c r="L52" s="20">
        <v>1.2817999999999998</v>
      </c>
    </row>
    <row r="53" spans="1:12" x14ac:dyDescent="0.4">
      <c r="A53" s="21">
        <v>60</v>
      </c>
      <c r="B53" s="19">
        <v>1.5357999999999998</v>
      </c>
      <c r="C53" s="19">
        <v>2.7831999999999999</v>
      </c>
      <c r="D53" s="20">
        <v>0.80735999999999986</v>
      </c>
      <c r="E53" s="47">
        <v>0.66003999999999985</v>
      </c>
      <c r="F53" s="20">
        <v>0.55099999999999993</v>
      </c>
      <c r="G53" s="20">
        <v>1.85832</v>
      </c>
      <c r="H53" s="20">
        <v>1.4847999999999999</v>
      </c>
      <c r="I53" s="20">
        <v>1.2319199999999999</v>
      </c>
      <c r="J53" s="20">
        <v>1.6935999999999998</v>
      </c>
      <c r="K53" s="20">
        <v>1.35372</v>
      </c>
      <c r="L53" s="20">
        <v>1.1994400000000001</v>
      </c>
    </row>
    <row r="54" spans="1:12" x14ac:dyDescent="0.4">
      <c r="A54" s="21">
        <v>61</v>
      </c>
      <c r="B54" s="19">
        <v>1.7318</v>
      </c>
      <c r="C54" s="19">
        <v>3.3683999999999998</v>
      </c>
      <c r="D54" s="20">
        <v>0.86999999999999988</v>
      </c>
      <c r="E54" s="47">
        <v>0.70411999999999997</v>
      </c>
      <c r="F54" s="20">
        <v>0.58695999999999993</v>
      </c>
      <c r="G54" s="20">
        <v>1.7005599999999998</v>
      </c>
      <c r="H54" s="20">
        <v>1.3432799999999998</v>
      </c>
      <c r="I54" s="20">
        <v>1.11476</v>
      </c>
      <c r="J54" s="20">
        <v>1.5509199999999999</v>
      </c>
      <c r="K54" s="20">
        <v>1.2237999999999998</v>
      </c>
      <c r="L54" s="20">
        <v>1.0857600000000001</v>
      </c>
    </row>
    <row r="55" spans="1:12" x14ac:dyDescent="0.4">
      <c r="A55" s="21">
        <v>62</v>
      </c>
      <c r="B55" s="19">
        <v>1.9558</v>
      </c>
      <c r="C55" s="19">
        <v>3.9942000000000002</v>
      </c>
      <c r="D55" s="20">
        <v>0.93843999999999994</v>
      </c>
      <c r="E55" s="47">
        <v>0.74935999999999992</v>
      </c>
      <c r="F55" s="20">
        <v>0.62524000000000002</v>
      </c>
      <c r="G55" s="20">
        <v>1.4859599999999997</v>
      </c>
      <c r="H55" s="20">
        <v>1.1530399999999998</v>
      </c>
      <c r="I55" s="20">
        <v>0.95699999999999985</v>
      </c>
      <c r="J55" s="20">
        <v>1.3548799999999999</v>
      </c>
      <c r="K55" s="20">
        <v>1.0509599999999999</v>
      </c>
      <c r="L55" s="20">
        <v>0.93147999999999997</v>
      </c>
    </row>
    <row r="56" spans="1:12" x14ac:dyDescent="0.4">
      <c r="A56" s="21">
        <v>63</v>
      </c>
      <c r="B56" s="19">
        <v>2.1349999999999998</v>
      </c>
      <c r="C56" s="19">
        <v>4.5822000000000003</v>
      </c>
      <c r="D56" s="20">
        <v>1.01152</v>
      </c>
      <c r="E56" s="47">
        <v>0.7980799999999999</v>
      </c>
      <c r="F56" s="20">
        <v>0.68323999999999996</v>
      </c>
      <c r="G56" s="20">
        <v>1.1889999999999998</v>
      </c>
      <c r="H56" s="20">
        <v>0.89783999999999997</v>
      </c>
      <c r="I56" s="20">
        <v>0.74471999999999994</v>
      </c>
      <c r="J56" s="20">
        <v>1.08344</v>
      </c>
      <c r="K56" s="20">
        <v>0.81895999999999991</v>
      </c>
      <c r="L56" s="20">
        <v>0.72499999999999998</v>
      </c>
    </row>
    <row r="57" spans="1:12" x14ac:dyDescent="0.4">
      <c r="A57" s="21">
        <v>64</v>
      </c>
      <c r="B57" s="19">
        <v>2.2204000000000002</v>
      </c>
      <c r="C57" s="19">
        <v>5.2555999999999994</v>
      </c>
      <c r="D57" s="20">
        <v>1.0915599999999999</v>
      </c>
      <c r="E57" s="47">
        <v>0.85027999999999992</v>
      </c>
      <c r="F57" s="20">
        <v>0.7075999999999999</v>
      </c>
      <c r="G57" s="20">
        <v>0.75515999999999994</v>
      </c>
      <c r="H57" s="20">
        <v>0.53591999999999995</v>
      </c>
      <c r="I57" s="20">
        <v>0.44427999999999995</v>
      </c>
      <c r="J57" s="20">
        <v>0.68787999999999994</v>
      </c>
      <c r="K57" s="20">
        <v>0.48835999999999996</v>
      </c>
      <c r="L57" s="20">
        <v>0.43267999999999995</v>
      </c>
    </row>
    <row r="58" spans="1:12" x14ac:dyDescent="0.4">
      <c r="A58" s="21">
        <v>65</v>
      </c>
      <c r="B58" s="19">
        <v>2.3071999999999999</v>
      </c>
      <c r="C58" s="19">
        <v>0</v>
      </c>
      <c r="D58" s="20">
        <v>1.1785599999999998</v>
      </c>
      <c r="E58" s="47">
        <v>0.90479999999999994</v>
      </c>
      <c r="F58" s="20">
        <v>0.77256000000000002</v>
      </c>
      <c r="G58" s="20">
        <v>0</v>
      </c>
      <c r="H58" s="20">
        <v>0</v>
      </c>
      <c r="I58" s="20">
        <v>0</v>
      </c>
      <c r="J58" s="20">
        <v>0</v>
      </c>
      <c r="K58" s="20">
        <v>0</v>
      </c>
      <c r="L58" s="20">
        <v>0</v>
      </c>
    </row>
    <row r="59" spans="1:12" x14ac:dyDescent="0.4">
      <c r="A59" s="21">
        <v>66</v>
      </c>
      <c r="B59" s="19">
        <v>2.3925999999999998</v>
      </c>
      <c r="C59" s="19">
        <v>0</v>
      </c>
      <c r="D59" s="20">
        <v>1.2725199999999999</v>
      </c>
      <c r="E59" s="47">
        <v>0.96279999999999988</v>
      </c>
      <c r="F59" s="20">
        <v>0.80155999999999994</v>
      </c>
      <c r="G59" s="20">
        <v>0</v>
      </c>
      <c r="H59" s="20">
        <v>0</v>
      </c>
      <c r="I59" s="20">
        <v>0</v>
      </c>
      <c r="J59" s="20">
        <v>0</v>
      </c>
      <c r="K59" s="20">
        <v>0</v>
      </c>
      <c r="L59" s="20">
        <v>0</v>
      </c>
    </row>
    <row r="60" spans="1:12" x14ac:dyDescent="0.4">
      <c r="A60" s="21">
        <v>67</v>
      </c>
      <c r="B60" s="19">
        <v>2.4793999999999996</v>
      </c>
      <c r="C60" s="19">
        <v>0</v>
      </c>
      <c r="D60" s="20">
        <v>1.3746</v>
      </c>
      <c r="E60" s="47">
        <v>1.0242799999999999</v>
      </c>
      <c r="F60" s="20">
        <v>0.8549199999999999</v>
      </c>
      <c r="G60" s="20">
        <v>0</v>
      </c>
      <c r="H60" s="20">
        <v>0</v>
      </c>
      <c r="I60" s="20">
        <v>0</v>
      </c>
      <c r="J60" s="20">
        <v>0</v>
      </c>
      <c r="K60" s="20">
        <v>0</v>
      </c>
      <c r="L60" s="20">
        <v>0</v>
      </c>
    </row>
    <row r="61" spans="1:12" x14ac:dyDescent="0.4">
      <c r="A61" s="21">
        <v>68</v>
      </c>
      <c r="B61" s="19">
        <v>2.5661999999999998</v>
      </c>
      <c r="C61" s="19">
        <v>0</v>
      </c>
      <c r="D61" s="20">
        <v>1.38852</v>
      </c>
      <c r="E61" s="47">
        <v>1.0347199999999999</v>
      </c>
      <c r="F61" s="20">
        <v>0.86187999999999998</v>
      </c>
      <c r="G61" s="20">
        <v>0</v>
      </c>
      <c r="H61" s="20">
        <v>0</v>
      </c>
      <c r="I61" s="20">
        <v>0</v>
      </c>
      <c r="J61" s="20">
        <v>0</v>
      </c>
      <c r="K61" s="20">
        <v>0</v>
      </c>
      <c r="L61" s="20">
        <v>0</v>
      </c>
    </row>
    <row r="62" spans="1:12" x14ac:dyDescent="0.4">
      <c r="A62" s="21">
        <v>69</v>
      </c>
      <c r="B62" s="19">
        <v>2.6515999999999997</v>
      </c>
      <c r="C62" s="19">
        <v>0</v>
      </c>
      <c r="D62" s="20">
        <v>0.90247999999999995</v>
      </c>
      <c r="E62" s="47">
        <v>0.67279999999999995</v>
      </c>
      <c r="F62" s="20">
        <v>0.70991999999999988</v>
      </c>
      <c r="G62" s="20">
        <v>0</v>
      </c>
      <c r="H62" s="20">
        <v>0</v>
      </c>
      <c r="I62" s="20">
        <v>0</v>
      </c>
      <c r="J62" s="20">
        <v>0</v>
      </c>
      <c r="K62" s="20">
        <v>0</v>
      </c>
      <c r="L62" s="20">
        <v>0</v>
      </c>
    </row>
    <row r="63" spans="1:12" x14ac:dyDescent="0.4">
      <c r="A63" s="21">
        <v>70</v>
      </c>
      <c r="B63" s="19">
        <v>0</v>
      </c>
      <c r="C63" s="19">
        <v>0</v>
      </c>
      <c r="D63" s="20">
        <v>0</v>
      </c>
      <c r="E63" s="47">
        <v>0</v>
      </c>
      <c r="F63" s="20">
        <v>0</v>
      </c>
      <c r="G63" s="20">
        <v>0</v>
      </c>
      <c r="H63" s="20">
        <v>0</v>
      </c>
      <c r="I63" s="20">
        <v>0</v>
      </c>
      <c r="J63" s="20">
        <v>0</v>
      </c>
      <c r="K63" s="20">
        <v>0</v>
      </c>
      <c r="L63" s="20">
        <v>0</v>
      </c>
    </row>
    <row r="64" spans="1:12" x14ac:dyDescent="0.4">
      <c r="A64" s="21">
        <v>71</v>
      </c>
      <c r="B64" s="19">
        <v>0</v>
      </c>
      <c r="C64" s="19">
        <v>0</v>
      </c>
      <c r="D64" s="20">
        <v>0</v>
      </c>
      <c r="E64" s="47">
        <v>0</v>
      </c>
      <c r="F64" s="20">
        <v>0</v>
      </c>
      <c r="G64" s="20">
        <v>0</v>
      </c>
      <c r="H64" s="20">
        <v>0</v>
      </c>
      <c r="I64" s="20">
        <v>0</v>
      </c>
      <c r="J64" s="20">
        <v>0</v>
      </c>
      <c r="K64" s="20">
        <v>0</v>
      </c>
      <c r="L64" s="20">
        <v>0</v>
      </c>
    </row>
    <row r="65" spans="1:12" x14ac:dyDescent="0.4">
      <c r="A65" s="21">
        <v>72</v>
      </c>
      <c r="B65" s="19">
        <v>0</v>
      </c>
      <c r="C65" s="19">
        <v>0</v>
      </c>
      <c r="D65" s="20">
        <v>0</v>
      </c>
      <c r="E65" s="47">
        <v>0</v>
      </c>
      <c r="F65" s="20">
        <v>0</v>
      </c>
      <c r="G65" s="20">
        <v>0</v>
      </c>
      <c r="H65" s="20">
        <v>0</v>
      </c>
      <c r="I65" s="20">
        <v>0</v>
      </c>
      <c r="J65" s="20">
        <v>0</v>
      </c>
      <c r="K65" s="20">
        <v>0</v>
      </c>
      <c r="L65" s="20">
        <v>0</v>
      </c>
    </row>
    <row r="66" spans="1:12" x14ac:dyDescent="0.4">
      <c r="A66" s="21">
        <v>73</v>
      </c>
      <c r="B66" s="19">
        <v>0</v>
      </c>
      <c r="C66" s="19">
        <v>0</v>
      </c>
      <c r="D66" s="20">
        <v>0</v>
      </c>
      <c r="E66" s="47">
        <v>0</v>
      </c>
      <c r="F66" s="20">
        <v>0</v>
      </c>
      <c r="G66" s="20">
        <v>0</v>
      </c>
      <c r="H66" s="20">
        <v>0</v>
      </c>
      <c r="I66" s="20">
        <v>0</v>
      </c>
      <c r="J66" s="20">
        <v>0</v>
      </c>
      <c r="K66" s="20">
        <v>0</v>
      </c>
      <c r="L66" s="20">
        <v>0</v>
      </c>
    </row>
    <row r="67" spans="1:12" x14ac:dyDescent="0.4">
      <c r="A67" s="21">
        <v>74</v>
      </c>
      <c r="B67" s="19">
        <v>0</v>
      </c>
      <c r="C67" s="19">
        <v>0</v>
      </c>
      <c r="D67" s="20">
        <v>0</v>
      </c>
      <c r="E67" s="47">
        <v>0</v>
      </c>
      <c r="F67" s="20">
        <v>0</v>
      </c>
      <c r="G67" s="20">
        <v>0</v>
      </c>
      <c r="H67" s="20">
        <v>0</v>
      </c>
      <c r="I67" s="20">
        <v>0</v>
      </c>
      <c r="J67" s="20">
        <v>0</v>
      </c>
      <c r="K67" s="20">
        <v>0</v>
      </c>
      <c r="L67" s="20">
        <v>0</v>
      </c>
    </row>
    <row r="68" spans="1:12" x14ac:dyDescent="0.4">
      <c r="A68" s="21">
        <v>75</v>
      </c>
      <c r="B68" s="19">
        <v>0</v>
      </c>
      <c r="C68" s="19">
        <v>0</v>
      </c>
      <c r="D68" s="20">
        <v>0</v>
      </c>
      <c r="E68" s="47">
        <v>0</v>
      </c>
      <c r="F68" s="20">
        <v>0</v>
      </c>
      <c r="G68" s="20">
        <v>0</v>
      </c>
      <c r="H68" s="20">
        <v>0</v>
      </c>
      <c r="I68" s="20">
        <v>0</v>
      </c>
      <c r="J68" s="20">
        <v>0</v>
      </c>
      <c r="K68" s="20">
        <v>0</v>
      </c>
      <c r="L68" s="20">
        <v>0</v>
      </c>
    </row>
  </sheetData>
  <sheetProtection algorithmName="SHA-512" hashValue="ta+2HViDP3XFMHKiVlA3ZGDj0nyPRPdwKm7pn/EDqSRBAsxtnVkMsIM8bysmV7lnJZi1ztys7IdWocLXqXRIQw==" saltValue="BA9dwrvw+Jw9SeSPJgib2A==" spinCount="100000" sheet="1" objects="1" scenarios="1" selectLockedCells="1" selectUnlockedCells="1"/>
  <mergeCells count="5">
    <mergeCell ref="A4:A6"/>
    <mergeCell ref="B4:C4"/>
    <mergeCell ref="D4:F4"/>
    <mergeCell ref="G4:I4"/>
    <mergeCell ref="J4:L4"/>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448DBF4CB27D4C8115DE6D6916CA97" ma:contentTypeVersion="16" ma:contentTypeDescription="Create a new document." ma:contentTypeScope="" ma:versionID="bfa853cdc170d962e516633ef4eb17f1">
  <xsd:schema xmlns:xsd="http://www.w3.org/2001/XMLSchema" xmlns:xs="http://www.w3.org/2001/XMLSchema" xmlns:p="http://schemas.microsoft.com/office/2006/metadata/properties" xmlns:ns2="98f83fe3-75af-47a5-a9be-8067edad2e2b" xmlns:ns3="fe4a4c8b-39ad-4780-98cf-ea868217df62" xmlns:ns4="2e38548d-c34f-4b92-b5e4-1a6d88eeb1ff" targetNamespace="http://schemas.microsoft.com/office/2006/metadata/properties" ma:root="true" ma:fieldsID="09339c19d4fb060bd56c92b8c9b638b0" ns2:_="" ns3:_="" ns4:_="">
    <xsd:import namespace="98f83fe3-75af-47a5-a9be-8067edad2e2b"/>
    <xsd:import namespace="fe4a4c8b-39ad-4780-98cf-ea868217df62"/>
    <xsd:import namespace="2e38548d-c34f-4b92-b5e4-1a6d88eeb1f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2:SharedWithUsers" minOccurs="0"/>
                <xsd:element ref="ns2:SharedWithDetails" minOccurs="0"/>
                <xsd:element ref="ns3:MediaServiceAutoKeyPoints" minOccurs="0"/>
                <xsd:element ref="ns3:MediaServiceKeyPoints" minOccurs="0"/>
                <xsd:element ref="ns3:MediaServiceOCR"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f83fe3-75af-47a5-a9be-8067edad2e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4a4c8b-39ad-4780-98cf-ea868217df6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0d739ea-1962-432e-8e5f-e9e593ab3eb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e38548d-c34f-4b92-b5e4-1a6d88eeb1ff"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8a9ec1-24cd-4de1-86dd-35d500f205a0}" ma:internalName="TaxCatchAll" ma:showField="CatchAllData" ma:web="98f83fe3-75af-47a5-a9be-8067edad2e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8f83fe3-75af-47a5-a9be-8067edad2e2b">MEX024-508857262-23534</_dlc_DocId>
    <_dlc_DocIdUrl xmlns="98f83fe3-75af-47a5-a9be-8067edad2e2b">
      <Url>https://australiansuper.sharepoint.com/teams/MEX-SDComms/_layouts/15/DocIdRedir.aspx?ID=MEX024-508857262-23534</Url>
      <Description>MEX024-508857262-23534</Description>
    </_dlc_DocIdUrl>
    <lcf76f155ced4ddcb4097134ff3c332f xmlns="fe4a4c8b-39ad-4780-98cf-ea868217df62">
      <Terms xmlns="http://schemas.microsoft.com/office/infopath/2007/PartnerControls"/>
    </lcf76f155ced4ddcb4097134ff3c332f>
    <TaxCatchAll xmlns="2e38548d-c34f-4b92-b5e4-1a6d88eeb1ff" xsi:nil="true"/>
  </documentManagement>
</p:properties>
</file>

<file path=customXml/itemProps1.xml><?xml version="1.0" encoding="utf-8"?>
<ds:datastoreItem xmlns:ds="http://schemas.openxmlformats.org/officeDocument/2006/customXml" ds:itemID="{4F95731F-A434-4CA9-83A4-3B55371ECB97}"/>
</file>

<file path=customXml/itemProps2.xml><?xml version="1.0" encoding="utf-8"?>
<ds:datastoreItem xmlns:ds="http://schemas.openxmlformats.org/officeDocument/2006/customXml" ds:itemID="{F5F4B596-2A76-41FE-8BDE-C976D4C1DC5E}"/>
</file>

<file path=customXml/itemProps3.xml><?xml version="1.0" encoding="utf-8"?>
<ds:datastoreItem xmlns:ds="http://schemas.openxmlformats.org/officeDocument/2006/customXml" ds:itemID="{26E99B60-A674-4A3C-B929-51AF88374EB8}"/>
</file>

<file path=customXml/itemProps4.xml><?xml version="1.0" encoding="utf-8"?>
<ds:datastoreItem xmlns:ds="http://schemas.openxmlformats.org/officeDocument/2006/customXml" ds:itemID="{F4556DC4-BE2C-4511-AB6A-24AC79106E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Benjamin</dc:creator>
  <cp:lastModifiedBy>Tompkins, Rheika</cp:lastModifiedBy>
  <dcterms:created xsi:type="dcterms:W3CDTF">2015-06-05T18:17:20Z</dcterms:created>
  <dcterms:modified xsi:type="dcterms:W3CDTF">2022-03-23T02:38:06Z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716faf-1e7d-4a5b-95e3-d997bb133f5e_Enabled">
    <vt:lpwstr>true</vt:lpwstr>
  </property>
  <property fmtid="{D5CDD505-2E9C-101B-9397-08002B2CF9AE}" pid="3" name="MSIP_Label_5e716faf-1e7d-4a5b-95e3-d997bb133f5e_SetDate">
    <vt:lpwstr>2021-07-27T06:32:13Z</vt:lpwstr>
  </property>
  <property fmtid="{D5CDD505-2E9C-101B-9397-08002B2CF9AE}" pid="4" name="MSIP_Label_5e716faf-1e7d-4a5b-95e3-d997bb133f5e_Method">
    <vt:lpwstr>Standard</vt:lpwstr>
  </property>
  <property fmtid="{D5CDD505-2E9C-101B-9397-08002B2CF9AE}" pid="5" name="MSIP_Label_5e716faf-1e7d-4a5b-95e3-d997bb133f5e_Name">
    <vt:lpwstr>Internal</vt:lpwstr>
  </property>
  <property fmtid="{D5CDD505-2E9C-101B-9397-08002B2CF9AE}" pid="6" name="MSIP_Label_5e716faf-1e7d-4a5b-95e3-d997bb133f5e_SiteId">
    <vt:lpwstr>2e2e956a-b164-4b2b-904b-0be8fefb4b4b</vt:lpwstr>
  </property>
  <property fmtid="{D5CDD505-2E9C-101B-9397-08002B2CF9AE}" pid="7" name="MSIP_Label_5e716faf-1e7d-4a5b-95e3-d997bb133f5e_ActionId">
    <vt:lpwstr>399107f5-5268-43b2-8840-9887584568ac</vt:lpwstr>
  </property>
  <property fmtid="{D5CDD505-2E9C-101B-9397-08002B2CF9AE}" pid="8" name="MSIP_Label_5e716faf-1e7d-4a5b-95e3-d997bb133f5e_ContentBits">
    <vt:lpwstr>0</vt:lpwstr>
  </property>
  <property fmtid="{D5CDD505-2E9C-101B-9397-08002B2CF9AE}" pid="9" name="LINKTEK-CHUNK-1">
    <vt:lpwstr>010021{"F":2,"I":"9BC9-B0D9-68EA-BC57"}</vt:lpwstr>
  </property>
  <property fmtid="{D5CDD505-2E9C-101B-9397-08002B2CF9AE}" pid="10" name="ContentTypeId">
    <vt:lpwstr>0x010100B5448DBF4CB27D4C8115DE6D6916CA97</vt:lpwstr>
  </property>
  <property fmtid="{D5CDD505-2E9C-101B-9397-08002B2CF9AE}" pid="11" name="_dlc_DocIdItemGuid">
    <vt:lpwstr>e247b65a-6d0d-4f4f-b3d1-a0848294a79a</vt:lpwstr>
  </property>
</Properties>
</file>